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Р" sheetId="1" r:id="rId1"/>
    <sheet name="ОПТ" sheetId="2" r:id="rId2"/>
    <sheet name="УМКД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<sst xmlns="http://schemas.openxmlformats.org/spreadsheetml/2006/main" count="199" uniqueCount="104">
  <si>
    <t>УТВЕРЖДАЮ:</t>
  </si>
  <si>
    <t>Директор ООО "Курагинский</t>
  </si>
  <si>
    <t>Энергосервис"</t>
  </si>
  <si>
    <t>Михалев В.А.</t>
  </si>
  <si>
    <t>Всего по обслуживаемому</t>
  </si>
  <si>
    <t>в т.ч.</t>
  </si>
  <si>
    <t>фонду</t>
  </si>
  <si>
    <t>Юности,1</t>
  </si>
  <si>
    <t>Юности,2</t>
  </si>
  <si>
    <t>Юности,3</t>
  </si>
  <si>
    <t>Юности,4</t>
  </si>
  <si>
    <t>Юности,5</t>
  </si>
  <si>
    <t>Юности,6</t>
  </si>
  <si>
    <t>Юности,7</t>
  </si>
  <si>
    <t>Юности,8</t>
  </si>
  <si>
    <t>Юности,9</t>
  </si>
  <si>
    <t>Юности,10</t>
  </si>
  <si>
    <t>Юности,11</t>
  </si>
  <si>
    <t>Юности,12</t>
  </si>
  <si>
    <t>Юности,13</t>
  </si>
  <si>
    <t>Юности,14</t>
  </si>
  <si>
    <t>Юности,15</t>
  </si>
  <si>
    <t>Юности,16</t>
  </si>
  <si>
    <t>Юности,17</t>
  </si>
  <si>
    <t>Юности,18</t>
  </si>
  <si>
    <t>Юности,19</t>
  </si>
  <si>
    <t>Юности,20</t>
  </si>
  <si>
    <t>Гагарина,15</t>
  </si>
  <si>
    <t>ИНФОРМАЦИЯ</t>
  </si>
  <si>
    <t>кол-во обслуживаемых</t>
  </si>
  <si>
    <t>единиц, м2</t>
  </si>
  <si>
    <t>Начислено, руб</t>
  </si>
  <si>
    <t>Оплачено, руб</t>
  </si>
  <si>
    <t>Задолженность населения</t>
  </si>
  <si>
    <t>РАСХОДЫ, всего (руб)</t>
  </si>
  <si>
    <t>1.1 Оплата труда</t>
  </si>
  <si>
    <t>1.2 Страховые взносы</t>
  </si>
  <si>
    <t>1.3 Информационные услуги</t>
  </si>
  <si>
    <t>1.4 Материальные расходы</t>
  </si>
  <si>
    <t>1.5 Почтовые расходы</t>
  </si>
  <si>
    <t>1.6 Полиграфические услуги</t>
  </si>
  <si>
    <t>1.8 Аренда помещения</t>
  </si>
  <si>
    <t>1.9 Услуги юриста</t>
  </si>
  <si>
    <t>имущества, всего (руб)</t>
  </si>
  <si>
    <t>2.1 Оплата труда</t>
  </si>
  <si>
    <t>2.2 Страховые взносы</t>
  </si>
  <si>
    <t>2.3 Материальные расходы</t>
  </si>
  <si>
    <t xml:space="preserve">в т.ч ремонт внутриинженерных конструкций </t>
  </si>
  <si>
    <t>(-) перерасход</t>
  </si>
  <si>
    <t>-отмостки</t>
  </si>
  <si>
    <t>-двери</t>
  </si>
  <si>
    <t>1.10 Прочии(коммунальные, командировочные, налоги)</t>
  </si>
  <si>
    <t>(+) остаток денежных средств</t>
  </si>
  <si>
    <t>-козырьки, балконы, крыльцо, подвал, окна (подрядные работы)</t>
  </si>
  <si>
    <t>Годовая плановая стоимость, всего (руб)</t>
  </si>
  <si>
    <t>тариф за кв.м (с01.07.2012г.)</t>
  </si>
  <si>
    <t>1. Работы по управлению МКД, всего</t>
  </si>
  <si>
    <r>
      <t xml:space="preserve">пользуются услугой </t>
    </r>
    <r>
      <rPr>
        <b/>
        <sz val="10"/>
        <rFont val="Arial"/>
        <family val="2"/>
      </rPr>
      <t>"Текущий ремонт</t>
    </r>
    <r>
      <rPr>
        <sz val="10"/>
        <rFont val="Arial"/>
        <family val="2"/>
      </rPr>
      <t>"</t>
    </r>
  </si>
  <si>
    <t>Главный бухгалтер</t>
  </si>
  <si>
    <t>Тимофеева С.В.</t>
  </si>
  <si>
    <t>-межпанельные швы</t>
  </si>
  <si>
    <r>
      <t xml:space="preserve">пользуются услугой </t>
    </r>
    <r>
      <rPr>
        <b/>
        <sz val="10"/>
        <rFont val="Arial"/>
        <family val="2"/>
      </rPr>
      <t>"ОПТ</t>
    </r>
    <r>
      <rPr>
        <sz val="10"/>
        <rFont val="Arial"/>
        <family val="2"/>
      </rPr>
      <t>"</t>
    </r>
  </si>
  <si>
    <t xml:space="preserve">-частичный ремонт крыши </t>
  </si>
  <si>
    <t>Ростелеком</t>
  </si>
  <si>
    <t>Почта</t>
  </si>
  <si>
    <t xml:space="preserve">в т.ч  </t>
  </si>
  <si>
    <r>
      <t xml:space="preserve">пользуются услугой </t>
    </r>
    <r>
      <rPr>
        <b/>
        <sz val="10"/>
        <rFont val="Arial"/>
        <family val="2"/>
      </rPr>
      <t>"УМКД</t>
    </r>
    <r>
      <rPr>
        <sz val="10"/>
        <rFont val="Arial"/>
        <family val="2"/>
      </rPr>
      <t>"</t>
    </r>
  </si>
  <si>
    <t>по согласованию собственников</t>
  </si>
  <si>
    <t>1.3 Материальные расходы</t>
  </si>
  <si>
    <t>1.4 Цеховые расходы</t>
  </si>
  <si>
    <t>тариф за кв.м (с 01.07.2017г.)</t>
  </si>
  <si>
    <t>Согласовано: Глава Кочергинского сельсовета</t>
  </si>
  <si>
    <t>Мосягина Е.А.</t>
  </si>
  <si>
    <t>исп.</t>
  </si>
  <si>
    <t>за период с 01.01.2018г - 31.12.2018г.</t>
  </si>
  <si>
    <t>ОСТАТОК НА 01.01.2018Г.</t>
  </si>
  <si>
    <t>Задолженность населения на 01.01.18г.</t>
  </si>
  <si>
    <t>1. Содержание общего</t>
  </si>
  <si>
    <t>-отсыпка щебнем</t>
  </si>
  <si>
    <t xml:space="preserve">- замена электропроводки </t>
  </si>
  <si>
    <t>ОТЧЕТ о выполняемых работах (оказываемых услугах) по ремонту общего имущества в МКД с.Кочергино за 2018г.</t>
  </si>
  <si>
    <t>-прочии энергет.паспорт</t>
  </si>
  <si>
    <t>-побелка покраска</t>
  </si>
  <si>
    <t>на 31.12.2018г.</t>
  </si>
  <si>
    <t>Остаток денежных средств на 31.12.2018г.</t>
  </si>
  <si>
    <t>ОТЧЕТ о выполняемых работах (оказываемых услугах) по обслуживанию придомовой территории в МКД с.Кочергино за 2018г.</t>
  </si>
  <si>
    <t>1.5 Спец одежда(охрана труда)</t>
  </si>
  <si>
    <t>Расчет на обслужи-</t>
  </si>
  <si>
    <t>вание придомовой</t>
  </si>
  <si>
    <t>Тариф с 01.07.2017г</t>
  </si>
  <si>
    <t>Численность обслуж-щего персонала(ч-к)</t>
  </si>
  <si>
    <t>обслуживаемому</t>
  </si>
  <si>
    <t xml:space="preserve">Всего по </t>
  </si>
  <si>
    <t>территории (план )</t>
  </si>
  <si>
    <t>в т.ч. Почта</t>
  </si>
  <si>
    <t>управление</t>
  </si>
  <si>
    <t>МКД (план )</t>
  </si>
  <si>
    <t>Расчет на</t>
  </si>
  <si>
    <t>60550</t>
  </si>
  <si>
    <t>1.7 Услуги связи</t>
  </si>
  <si>
    <t>05.02.2019г.</t>
  </si>
  <si>
    <t>ОТЧЕТ о выполняемых работах (оказываемых услугах) по управлению МКД с.Кочергино за 2018г.</t>
  </si>
  <si>
    <t xml:space="preserve">                                              Мосягина Е.А.</t>
  </si>
  <si>
    <t xml:space="preserve">                                                 Мосягина Е.А.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</si>
</sst>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2" fontId="2" fillId="0" borderId="29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Border="1" applyAlignment="1">
      <alignment/>
    </xf>
    <xf numFmtId="16" fontId="0" fillId="0" borderId="26" xfId="0" applyNumberFormat="1" applyBorder="1" applyAlignment="1">
      <alignment/>
    </xf>
    <xf numFmtId="0" fontId="0" fillId="0" borderId="27" xfId="0" applyFont="1" applyBorder="1" applyAlignment="1">
      <alignment/>
    </xf>
    <xf numFmtId="16" fontId="0" fillId="0" borderId="31" xfId="0" applyNumberFormat="1" applyBorder="1" applyAlignment="1">
      <alignment/>
    </xf>
    <xf numFmtId="0" fontId="2" fillId="0" borderId="33" xfId="0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6" xfId="0" applyNumberFormat="1" applyBorder="1" applyAlignment="1">
      <alignment/>
    </xf>
    <xf numFmtId="2" fontId="1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2" fontId="1" fillId="0" borderId="27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0" xfId="0" applyFill="1" applyAlignment="1">
      <alignment/>
    </xf>
    <xf numFmtId="0" fontId="0" fillId="0" borderId="36" xfId="0" applyBorder="1" applyAlignment="1">
      <alignment/>
    </xf>
    <xf numFmtId="2" fontId="0" fillId="0" borderId="32" xfId="0" applyNumberFormat="1" applyFont="1" applyBorder="1" applyAlignment="1">
      <alignment/>
    </xf>
    <xf numFmtId="16" fontId="0" fillId="0" borderId="21" xfId="0" applyNumberFormat="1" applyBorder="1" applyAlignment="1">
      <alignment wrapText="1"/>
    </xf>
    <xf numFmtId="2" fontId="2" fillId="0" borderId="13" xfId="0" applyNumberFormat="1" applyFont="1" applyBorder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43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2" fontId="0" fillId="0" borderId="28" xfId="0" applyNumberFormat="1" applyBorder="1" applyAlignment="1">
      <alignment/>
    </xf>
    <xf numFmtId="0" fontId="0" fillId="33" borderId="28" xfId="0" applyFill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2" fontId="2" fillId="0" borderId="47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9" fontId="0" fillId="0" borderId="51" xfId="0" applyNumberForma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49" fontId="0" fillId="0" borderId="53" xfId="0" applyNumberFormat="1" applyBorder="1" applyAlignment="1">
      <alignment/>
    </xf>
    <xf numFmtId="2" fontId="1" fillId="0" borderId="26" xfId="0" applyNumberFormat="1" applyFont="1" applyBorder="1" applyAlignment="1">
      <alignment/>
    </xf>
    <xf numFmtId="0" fontId="0" fillId="0" borderId="31" xfId="0" applyFont="1" applyBorder="1" applyAlignment="1">
      <alignment/>
    </xf>
    <xf numFmtId="16" fontId="0" fillId="0" borderId="10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26" xfId="0" applyNumberFormat="1" applyBorder="1" applyAlignment="1">
      <alignment wrapText="1"/>
    </xf>
    <xf numFmtId="2" fontId="2" fillId="0" borderId="26" xfId="0" applyNumberFormat="1" applyFont="1" applyBorder="1" applyAlignment="1">
      <alignment/>
    </xf>
    <xf numFmtId="0" fontId="0" fillId="0" borderId="40" xfId="0" applyFill="1" applyBorder="1" applyAlignment="1">
      <alignment/>
    </xf>
    <xf numFmtId="2" fontId="2" fillId="0" borderId="55" xfId="0" applyNumberFormat="1" applyFont="1" applyBorder="1" applyAlignment="1">
      <alignment/>
    </xf>
    <xf numFmtId="0" fontId="1" fillId="0" borderId="30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39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56" xfId="0" applyNumberFormat="1" applyBorder="1" applyAlignment="1">
      <alignment/>
    </xf>
    <xf numFmtId="2" fontId="2" fillId="0" borderId="3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43" xfId="0" applyNumberFormat="1" applyFont="1" applyFill="1" applyBorder="1" applyAlignment="1">
      <alignment/>
    </xf>
    <xf numFmtId="2" fontId="0" fillId="0" borderId="49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40" fillId="0" borderId="16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57" xfId="0" applyNumberFormat="1" applyBorder="1" applyAlignment="1">
      <alignment/>
    </xf>
    <xf numFmtId="2" fontId="1" fillId="0" borderId="23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2" fontId="0" fillId="0" borderId="18" xfId="0" applyNumberFormat="1" applyBorder="1" applyAlignment="1">
      <alignment/>
    </xf>
    <xf numFmtId="0" fontId="1" fillId="0" borderId="28" xfId="0" applyFont="1" applyBorder="1" applyAlignment="1">
      <alignment/>
    </xf>
    <xf numFmtId="0" fontId="0" fillId="0" borderId="6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2" xfId="0" applyBorder="1" applyAlignment="1">
      <alignment/>
    </xf>
    <xf numFmtId="0" fontId="1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Border="1" applyAlignment="1">
      <alignment/>
    </xf>
    <xf numFmtId="0" fontId="2" fillId="0" borderId="6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6" xfId="0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64" xfId="0" applyFont="1" applyBorder="1" applyAlignment="1">
      <alignment wrapText="1"/>
    </xf>
    <xf numFmtId="49" fontId="0" fillId="0" borderId="46" xfId="0" applyNumberFormat="1" applyBorder="1" applyAlignment="1">
      <alignment horizontal="right"/>
    </xf>
    <xf numFmtId="0" fontId="0" fillId="0" borderId="18" xfId="0" applyFont="1" applyBorder="1" applyAlignment="1">
      <alignment wrapText="1"/>
    </xf>
    <xf numFmtId="0" fontId="0" fillId="0" borderId="15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0" fillId="34" borderId="42" xfId="0" applyFont="1" applyFill="1" applyBorder="1" applyAlignment="1">
      <alignment/>
    </xf>
    <xf numFmtId="49" fontId="40" fillId="34" borderId="46" xfId="0" applyNumberFormat="1" applyFont="1" applyFill="1" applyBorder="1" applyAlignment="1">
      <alignment horizontal="right"/>
    </xf>
    <xf numFmtId="0" fontId="40" fillId="34" borderId="0" xfId="0" applyFont="1" applyFill="1" applyAlignment="1">
      <alignment/>
    </xf>
    <xf numFmtId="0" fontId="40" fillId="34" borderId="35" xfId="0" applyFont="1" applyFill="1" applyBorder="1" applyAlignment="1">
      <alignment/>
    </xf>
    <xf numFmtId="49" fontId="2" fillId="0" borderId="66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67" xfId="0" applyNumberFormat="1" applyFont="1" applyFill="1" applyBorder="1" applyAlignment="1">
      <alignment/>
    </xf>
    <xf numFmtId="2" fontId="1" fillId="0" borderId="30" xfId="0" applyNumberFormat="1" applyFont="1" applyBorder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r1\Desktop\&#1057;&#1085;&#1077;&#1078;&#1072;&#1085;&#1072;\&#1044;&#1054;&#1052;&#1059;&#1055;&#1056;&#1040;&#1042;\&#1054;&#1090;&#1095;&#1077;&#1090;%20&#1087;&#1086;%20&#1046;&#1059;%20&#1079;&#1072;%202017%20&#1080;%20&#1087;&#1088;&#1086;&#1090;&#1086;&#1082;&#1086;&#1083;%20&#1085;&#1072;%202017\&#1054;&#1058;&#1063;&#1045;&#1058;%20&#1046;&#1059;%20&#1089;%2001.01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"/>
      <sheetName val="ОПТ"/>
      <sheetName val="УМКД"/>
    </sheetNames>
    <sheetDataSet>
      <sheetData sheetId="0">
        <row r="27">
          <cell r="C27">
            <v>3827.46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1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41" sqref="F41"/>
    </sheetView>
  </sheetViews>
  <sheetFormatPr defaultColWidth="9.140625" defaultRowHeight="12.75"/>
  <cols>
    <col min="1" max="1" width="35.8515625" style="0" customWidth="1"/>
    <col min="2" max="2" width="15.8515625" style="0" customWidth="1"/>
    <col min="3" max="3" width="10.57421875" style="0" customWidth="1"/>
    <col min="4" max="4" width="11.7109375" style="0" customWidth="1"/>
    <col min="5" max="5" width="11.28125" style="0" customWidth="1"/>
    <col min="7" max="7" width="10.421875" style="0" customWidth="1"/>
    <col min="8" max="8" width="11.7109375" style="0" customWidth="1"/>
    <col min="10" max="10" width="11.7109375" style="0" customWidth="1"/>
    <col min="12" max="12" width="10.8515625" style="0" customWidth="1"/>
    <col min="13" max="14" width="11.00390625" style="0" customWidth="1"/>
    <col min="15" max="15" width="11.28125" style="0" customWidth="1"/>
    <col min="16" max="16" width="11.57421875" style="0" customWidth="1"/>
    <col min="17" max="17" width="12.140625" style="0" customWidth="1"/>
    <col min="18" max="18" width="11.28125" style="0" customWidth="1"/>
    <col min="19" max="20" width="11.140625" style="0" customWidth="1"/>
    <col min="21" max="21" width="10.8515625" style="0" customWidth="1"/>
    <col min="22" max="22" width="11.140625" style="0" customWidth="1"/>
    <col min="23" max="23" width="10.8515625" style="0" hidden="1" customWidth="1"/>
    <col min="24" max="24" width="9.57421875" style="0" bestFit="1" customWidth="1"/>
  </cols>
  <sheetData>
    <row r="2" spans="1:19" ht="12.75">
      <c r="A2" t="s">
        <v>71</v>
      </c>
      <c r="S2" t="s">
        <v>0</v>
      </c>
    </row>
    <row r="3" ht="12.75">
      <c r="S3" t="s">
        <v>1</v>
      </c>
    </row>
    <row r="4" spans="2:19" ht="12.75">
      <c r="B4" t="s">
        <v>72</v>
      </c>
      <c r="S4" t="s">
        <v>2</v>
      </c>
    </row>
    <row r="5" spans="1:21" ht="12.75">
      <c r="A5" s="166" t="s">
        <v>100</v>
      </c>
      <c r="B5" s="1"/>
      <c r="E5" s="1"/>
      <c r="G5" s="1"/>
      <c r="M5" s="1"/>
      <c r="O5" s="1"/>
      <c r="S5" s="1"/>
      <c r="U5" s="1" t="s">
        <v>3</v>
      </c>
    </row>
    <row r="6" spans="1:15" ht="12" customHeight="1">
      <c r="A6" s="61"/>
      <c r="B6" s="174" t="s">
        <v>80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20" ht="12.75" customHeight="1">
      <c r="A7" s="61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T7" s="159" t="s">
        <v>100</v>
      </c>
    </row>
    <row r="8" spans="1:4" ht="12.75" customHeight="1">
      <c r="A8" s="169"/>
      <c r="B8" s="169"/>
      <c r="D8" t="s">
        <v>74</v>
      </c>
    </row>
    <row r="9" spans="1:2" ht="12.75">
      <c r="A9" s="170"/>
      <c r="B9" s="169"/>
    </row>
    <row r="10" ht="13.5" thickBot="1">
      <c r="I10" s="54"/>
    </row>
    <row r="11" spans="1:23" ht="45" customHeight="1" thickBot="1">
      <c r="A11" s="2"/>
      <c r="B11" s="105" t="s">
        <v>4</v>
      </c>
      <c r="C11" s="171" t="s">
        <v>5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3"/>
    </row>
    <row r="12" spans="1:23" ht="12.75">
      <c r="A12" s="4"/>
      <c r="B12" s="5" t="s">
        <v>6</v>
      </c>
      <c r="C12" s="6" t="s">
        <v>7</v>
      </c>
      <c r="D12" s="7" t="s">
        <v>8</v>
      </c>
      <c r="E12" s="6" t="s">
        <v>9</v>
      </c>
      <c r="F12" s="7" t="s">
        <v>10</v>
      </c>
      <c r="G12" s="6" t="s">
        <v>11</v>
      </c>
      <c r="H12" s="7" t="s">
        <v>12</v>
      </c>
      <c r="I12" s="6" t="s">
        <v>13</v>
      </c>
      <c r="J12" s="7" t="s">
        <v>14</v>
      </c>
      <c r="K12" s="6" t="s">
        <v>15</v>
      </c>
      <c r="L12" s="7" t="s">
        <v>16</v>
      </c>
      <c r="M12" s="6" t="s">
        <v>17</v>
      </c>
      <c r="N12" s="7" t="s">
        <v>18</v>
      </c>
      <c r="O12" s="6" t="s">
        <v>19</v>
      </c>
      <c r="P12" s="7" t="s">
        <v>20</v>
      </c>
      <c r="Q12" s="6" t="s">
        <v>21</v>
      </c>
      <c r="R12" s="7" t="s">
        <v>22</v>
      </c>
      <c r="S12" s="6" t="s">
        <v>23</v>
      </c>
      <c r="T12" s="7" t="s">
        <v>24</v>
      </c>
      <c r="U12" s="6" t="s">
        <v>25</v>
      </c>
      <c r="V12" s="7" t="s">
        <v>26</v>
      </c>
      <c r="W12" s="8" t="s">
        <v>27</v>
      </c>
    </row>
    <row r="13" spans="1:23" ht="13.5" thickBot="1">
      <c r="A13" s="4"/>
      <c r="B13" s="5"/>
      <c r="C13" s="6"/>
      <c r="D13" s="7"/>
      <c r="E13" s="6"/>
      <c r="F13" s="7"/>
      <c r="G13" s="6"/>
      <c r="H13" s="7" t="s">
        <v>65</v>
      </c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8"/>
    </row>
    <row r="14" spans="1:23" ht="12.75">
      <c r="A14" s="9" t="s">
        <v>28</v>
      </c>
      <c r="B14" s="3"/>
      <c r="C14" s="6"/>
      <c r="D14" s="7"/>
      <c r="E14" s="6"/>
      <c r="F14" s="7"/>
      <c r="G14" s="6"/>
      <c r="H14" s="7" t="s">
        <v>63</v>
      </c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8"/>
    </row>
    <row r="15" spans="1:23" ht="13.5" thickBot="1">
      <c r="A15" s="4"/>
      <c r="B15" s="5"/>
      <c r="C15" s="6"/>
      <c r="D15" s="7"/>
      <c r="E15" s="6"/>
      <c r="F15" s="7"/>
      <c r="G15" s="6"/>
      <c r="H15" s="7" t="s">
        <v>64</v>
      </c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8"/>
    </row>
    <row r="16" spans="1:23" ht="12.75">
      <c r="A16" s="2" t="s">
        <v>29</v>
      </c>
      <c r="B16" s="3"/>
      <c r="C16" s="10"/>
      <c r="D16" s="11"/>
      <c r="E16" s="10"/>
      <c r="F16" s="11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2"/>
    </row>
    <row r="17" spans="1:23" ht="12.75">
      <c r="A17" s="13" t="s">
        <v>30</v>
      </c>
      <c r="B17" s="14"/>
      <c r="C17" s="6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8">
        <v>287.82</v>
      </c>
    </row>
    <row r="18" spans="1:23" ht="13.5" thickBot="1">
      <c r="A18" s="15" t="s">
        <v>57</v>
      </c>
      <c r="B18" s="16">
        <f>SUM(C18:W18)</f>
        <v>5875.73</v>
      </c>
      <c r="C18" s="17">
        <v>299.7</v>
      </c>
      <c r="D18" s="18">
        <v>296.97</v>
      </c>
      <c r="E18" s="17">
        <v>295.04</v>
      </c>
      <c r="F18" s="18">
        <v>296.85</v>
      </c>
      <c r="G18" s="17">
        <v>296.1</v>
      </c>
      <c r="H18" s="18">
        <v>301.07</v>
      </c>
      <c r="I18" s="17">
        <v>299.18</v>
      </c>
      <c r="J18" s="18">
        <v>297.6</v>
      </c>
      <c r="K18" s="17">
        <v>296.71</v>
      </c>
      <c r="L18" s="18">
        <v>297.31</v>
      </c>
      <c r="M18" s="17">
        <v>294.74</v>
      </c>
      <c r="N18" s="18">
        <v>228.84</v>
      </c>
      <c r="O18" s="17">
        <v>297.1</v>
      </c>
      <c r="P18" s="18">
        <v>295.54</v>
      </c>
      <c r="Q18" s="17">
        <v>298.94</v>
      </c>
      <c r="R18" s="18">
        <v>298.37</v>
      </c>
      <c r="S18" s="17">
        <v>298.5</v>
      </c>
      <c r="T18" s="18">
        <v>294.98</v>
      </c>
      <c r="U18" s="17">
        <v>295.89</v>
      </c>
      <c r="V18" s="18">
        <v>296.3</v>
      </c>
      <c r="W18" s="19">
        <v>0</v>
      </c>
    </row>
    <row r="19" spans="1:23" ht="12.75">
      <c r="A19" s="2" t="s">
        <v>55</v>
      </c>
      <c r="B19" s="63">
        <v>7.6</v>
      </c>
      <c r="C19" s="10"/>
      <c r="D19" s="11"/>
      <c r="E19" s="10"/>
      <c r="F19" s="11"/>
      <c r="G19" s="10"/>
      <c r="H19" s="11"/>
      <c r="I19" s="10"/>
      <c r="J19" s="11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2"/>
    </row>
    <row r="20" spans="1:23" ht="13.5" thickBot="1">
      <c r="A20" s="114" t="s">
        <v>67</v>
      </c>
      <c r="B20" s="16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9"/>
    </row>
    <row r="21" spans="1:24" ht="13.5" thickBot="1">
      <c r="A21" s="44" t="s">
        <v>75</v>
      </c>
      <c r="B21" s="58">
        <f>SUM(C21:V21)</f>
        <v>500710.2099999999</v>
      </c>
      <c r="C21" s="43">
        <v>-4943.27</v>
      </c>
      <c r="D21" s="43">
        <v>1734.14</v>
      </c>
      <c r="E21" s="43">
        <v>42558.05</v>
      </c>
      <c r="F21" s="43">
        <v>-577.97</v>
      </c>
      <c r="G21" s="43">
        <v>47752.47</v>
      </c>
      <c r="H21" s="43">
        <v>15980.14</v>
      </c>
      <c r="I21" s="43">
        <v>48323.69</v>
      </c>
      <c r="J21" s="43">
        <v>28793.81</v>
      </c>
      <c r="K21" s="43">
        <v>41039.75</v>
      </c>
      <c r="L21" s="43">
        <v>18529.2</v>
      </c>
      <c r="M21" s="43">
        <v>45077.92</v>
      </c>
      <c r="N21" s="43">
        <v>26890.44</v>
      </c>
      <c r="O21" s="43">
        <v>11481.6</v>
      </c>
      <c r="P21" s="43">
        <v>52633.02</v>
      </c>
      <c r="Q21" s="43">
        <v>46259.35</v>
      </c>
      <c r="R21" s="43">
        <v>24537</v>
      </c>
      <c r="S21" s="43">
        <v>7632.62</v>
      </c>
      <c r="T21" s="43">
        <v>27403.85</v>
      </c>
      <c r="U21" s="43">
        <v>4210.93</v>
      </c>
      <c r="V21" s="43">
        <v>15393.47</v>
      </c>
      <c r="W21" s="43" t="e">
        <f>#REF!+#REF!-#REF!</f>
        <v>#REF!</v>
      </c>
      <c r="X21" s="62"/>
    </row>
    <row r="22" spans="1:23" ht="26.25" thickBot="1">
      <c r="A22" s="106" t="s">
        <v>54</v>
      </c>
      <c r="B22" s="21">
        <f>B25</f>
        <v>456484.66000000015</v>
      </c>
      <c r="C22" s="21">
        <f aca="true" t="shared" si="0" ref="C22:V22">C25</f>
        <v>17152.87</v>
      </c>
      <c r="D22" s="21">
        <f t="shared" si="0"/>
        <v>28761.59</v>
      </c>
      <c r="E22" s="21">
        <f t="shared" si="0"/>
        <v>24323.57</v>
      </c>
      <c r="F22" s="21">
        <f t="shared" si="0"/>
        <v>27182.53</v>
      </c>
      <c r="G22" s="21">
        <f t="shared" si="0"/>
        <v>21509.52</v>
      </c>
      <c r="H22" s="21">
        <f t="shared" si="0"/>
        <v>26850.65</v>
      </c>
      <c r="I22" s="21">
        <f t="shared" si="0"/>
        <v>21238.73</v>
      </c>
      <c r="J22" s="21">
        <f t="shared" si="0"/>
        <v>17695.35</v>
      </c>
      <c r="K22" s="21">
        <f t="shared" si="0"/>
        <v>29896.61</v>
      </c>
      <c r="L22" s="21">
        <f t="shared" si="0"/>
        <v>27141.84</v>
      </c>
      <c r="M22" s="21">
        <f t="shared" si="0"/>
        <v>15225.9</v>
      </c>
      <c r="N22" s="21">
        <f t="shared" si="0"/>
        <v>17203.78</v>
      </c>
      <c r="O22" s="21">
        <f t="shared" si="0"/>
        <v>0</v>
      </c>
      <c r="P22" s="21">
        <f t="shared" si="0"/>
        <v>26006.24</v>
      </c>
      <c r="Q22" s="21">
        <f t="shared" si="0"/>
        <v>26154.46</v>
      </c>
      <c r="R22" s="21">
        <f t="shared" si="0"/>
        <v>29181.87</v>
      </c>
      <c r="S22" s="21">
        <f t="shared" si="0"/>
        <v>24715.65</v>
      </c>
      <c r="T22" s="21">
        <f t="shared" si="0"/>
        <v>24106.19</v>
      </c>
      <c r="U22" s="21">
        <f t="shared" si="0"/>
        <v>28315.78</v>
      </c>
      <c r="V22" s="21">
        <f t="shared" si="0"/>
        <v>23821.53</v>
      </c>
      <c r="W22" s="22">
        <f>W25</f>
        <v>0</v>
      </c>
    </row>
    <row r="23" spans="1:23" ht="13.5" thickBot="1">
      <c r="A23" s="23" t="s">
        <v>76</v>
      </c>
      <c r="B23" s="3">
        <f>SUM(C23:V23)</f>
        <v>181231.95999999996</v>
      </c>
      <c r="C23" s="10">
        <f>'[1]ТР'!$C$27</f>
        <v>3827.46</v>
      </c>
      <c r="D23" s="11">
        <v>5216.24</v>
      </c>
      <c r="E23" s="10">
        <v>4363.31</v>
      </c>
      <c r="F23" s="11">
        <v>2882.14</v>
      </c>
      <c r="G23" s="10">
        <v>29686.44</v>
      </c>
      <c r="H23" s="11">
        <v>3577.56</v>
      </c>
      <c r="I23" s="10">
        <v>16449.86</v>
      </c>
      <c r="J23" s="11">
        <v>19458.19</v>
      </c>
      <c r="K23" s="10">
        <v>5890.72</v>
      </c>
      <c r="L23" s="11">
        <v>3224.37</v>
      </c>
      <c r="M23" s="10">
        <v>16464.88</v>
      </c>
      <c r="N23" s="11">
        <v>11409.84</v>
      </c>
      <c r="O23" s="10">
        <v>0</v>
      </c>
      <c r="P23" s="11">
        <v>3480.51</v>
      </c>
      <c r="Q23" s="10">
        <v>4210.3</v>
      </c>
      <c r="R23" s="11">
        <v>6026.46</v>
      </c>
      <c r="S23" s="10">
        <v>2697.02</v>
      </c>
      <c r="T23" s="11">
        <v>6073.65</v>
      </c>
      <c r="U23" s="10">
        <v>29829.18</v>
      </c>
      <c r="V23" s="11">
        <v>6463.83</v>
      </c>
      <c r="W23" s="12"/>
    </row>
    <row r="24" spans="1:23" ht="13.5" thickBot="1">
      <c r="A24" s="15" t="s">
        <v>31</v>
      </c>
      <c r="B24" s="3">
        <f>SUM(C24:V24)</f>
        <v>483617.25</v>
      </c>
      <c r="C24" s="55">
        <v>17817</v>
      </c>
      <c r="D24" s="64">
        <v>27086.4</v>
      </c>
      <c r="E24" s="65">
        <v>26904</v>
      </c>
      <c r="F24" s="64">
        <v>27022.56</v>
      </c>
      <c r="G24" s="65">
        <v>27004.32</v>
      </c>
      <c r="H24" s="64">
        <f>17881.56+9466.56</f>
        <v>27348.120000000003</v>
      </c>
      <c r="I24" s="65">
        <v>27108.24</v>
      </c>
      <c r="J24" s="64">
        <v>27141.12</v>
      </c>
      <c r="K24" s="65">
        <v>27049.92</v>
      </c>
      <c r="L24" s="64">
        <v>27068.16</v>
      </c>
      <c r="M24" s="65">
        <v>11671.68</v>
      </c>
      <c r="N24" s="64">
        <v>20815.44</v>
      </c>
      <c r="O24" s="65"/>
      <c r="P24" s="64">
        <v>26913.12</v>
      </c>
      <c r="Q24" s="65">
        <v>27263.73</v>
      </c>
      <c r="R24" s="64">
        <v>27218.92</v>
      </c>
      <c r="S24" s="65">
        <v>27274.88</v>
      </c>
      <c r="T24" s="64">
        <v>26902.08</v>
      </c>
      <c r="U24" s="65">
        <v>26985</v>
      </c>
      <c r="V24" s="66">
        <v>27022.56</v>
      </c>
      <c r="W24" s="19"/>
    </row>
    <row r="25" spans="1:23" ht="13.5" thickBot="1">
      <c r="A25" s="4" t="s">
        <v>32</v>
      </c>
      <c r="B25" s="3">
        <f>SUM(C25:V25)</f>
        <v>456484.66000000015</v>
      </c>
      <c r="C25" s="6">
        <v>17152.87</v>
      </c>
      <c r="D25" s="7">
        <v>28761.59</v>
      </c>
      <c r="E25" s="47">
        <v>24323.57</v>
      </c>
      <c r="F25" s="7">
        <v>27182.53</v>
      </c>
      <c r="G25" s="45">
        <v>21509.52</v>
      </c>
      <c r="H25" s="7">
        <f>17384.09+9466.56</f>
        <v>26850.65</v>
      </c>
      <c r="I25" s="46">
        <v>21238.73</v>
      </c>
      <c r="J25" s="7">
        <v>17695.35</v>
      </c>
      <c r="K25" s="46">
        <v>29896.61</v>
      </c>
      <c r="L25" s="7">
        <v>27141.84</v>
      </c>
      <c r="M25" s="46">
        <v>15225.9</v>
      </c>
      <c r="N25" s="7">
        <v>17203.78</v>
      </c>
      <c r="O25" s="46"/>
      <c r="P25" s="7">
        <v>26006.24</v>
      </c>
      <c r="Q25" s="46">
        <v>26154.46</v>
      </c>
      <c r="R25" s="7">
        <v>29181.87</v>
      </c>
      <c r="S25" s="46">
        <v>24715.65</v>
      </c>
      <c r="T25" s="7">
        <v>24106.19</v>
      </c>
      <c r="U25" s="46">
        <v>28315.78</v>
      </c>
      <c r="V25" s="7">
        <v>23821.53</v>
      </c>
      <c r="W25" s="8"/>
    </row>
    <row r="26" spans="1:23" ht="13.5" thickBot="1">
      <c r="A26" s="23" t="s">
        <v>33</v>
      </c>
      <c r="B26" s="24"/>
      <c r="C26" s="25"/>
      <c r="D26" s="26"/>
      <c r="E26" s="25"/>
      <c r="F26" s="26"/>
      <c r="G26" s="25"/>
      <c r="H26" s="26"/>
      <c r="I26" s="25"/>
      <c r="J26" s="26"/>
      <c r="K26" s="25"/>
      <c r="L26" s="26"/>
      <c r="M26" s="25"/>
      <c r="N26" s="26"/>
      <c r="O26" s="25"/>
      <c r="P26" s="26"/>
      <c r="Q26" s="25"/>
      <c r="R26" s="26"/>
      <c r="S26" s="25"/>
      <c r="T26" s="11"/>
      <c r="U26" s="25"/>
      <c r="V26" s="11"/>
      <c r="W26" s="27"/>
    </row>
    <row r="27" spans="1:23" ht="12.75">
      <c r="A27" s="102" t="s">
        <v>83</v>
      </c>
      <c r="B27" s="29">
        <f>SUM(C27:W27)</f>
        <v>208364.55</v>
      </c>
      <c r="C27" s="28">
        <f>C23+C24-C25</f>
        <v>4491.59</v>
      </c>
      <c r="D27" s="67">
        <f aca="true" t="shared" si="1" ref="D27:W27">D23+D24-D25</f>
        <v>3541.0499999999993</v>
      </c>
      <c r="E27" s="67">
        <f t="shared" si="1"/>
        <v>6943.740000000002</v>
      </c>
      <c r="F27" s="67">
        <f t="shared" si="1"/>
        <v>2722.170000000002</v>
      </c>
      <c r="G27" s="67">
        <f t="shared" si="1"/>
        <v>35181.23999999999</v>
      </c>
      <c r="H27" s="67">
        <f>H23+H24-H25</f>
        <v>4075.0300000000025</v>
      </c>
      <c r="I27" s="67">
        <f t="shared" si="1"/>
        <v>22319.370000000006</v>
      </c>
      <c r="J27" s="67">
        <f t="shared" si="1"/>
        <v>28903.96</v>
      </c>
      <c r="K27" s="67">
        <f t="shared" si="1"/>
        <v>3044.029999999999</v>
      </c>
      <c r="L27" s="67">
        <f t="shared" si="1"/>
        <v>3150.6899999999987</v>
      </c>
      <c r="M27" s="67">
        <f t="shared" si="1"/>
        <v>12910.660000000002</v>
      </c>
      <c r="N27" s="67">
        <f t="shared" si="1"/>
        <v>15021.5</v>
      </c>
      <c r="O27" s="67">
        <f t="shared" si="1"/>
        <v>0</v>
      </c>
      <c r="P27" s="67">
        <f t="shared" si="1"/>
        <v>4387.389999999996</v>
      </c>
      <c r="Q27" s="67">
        <f t="shared" si="1"/>
        <v>5319.57</v>
      </c>
      <c r="R27" s="67">
        <f t="shared" si="1"/>
        <v>4063.5099999999984</v>
      </c>
      <c r="S27" s="67">
        <f t="shared" si="1"/>
        <v>5256.25</v>
      </c>
      <c r="T27" s="53">
        <f t="shared" si="1"/>
        <v>8869.540000000005</v>
      </c>
      <c r="U27" s="67">
        <f t="shared" si="1"/>
        <v>28498.4</v>
      </c>
      <c r="V27" s="53">
        <f t="shared" si="1"/>
        <v>9664.86</v>
      </c>
      <c r="W27" s="10">
        <f t="shared" si="1"/>
        <v>0</v>
      </c>
    </row>
    <row r="28" spans="1:23" ht="13.5" thickBot="1">
      <c r="A28" s="30"/>
      <c r="B28" s="31"/>
      <c r="C28" s="17"/>
      <c r="D28" s="18"/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9"/>
    </row>
    <row r="29" spans="1:23" ht="12.75">
      <c r="A29" s="73" t="s">
        <v>77</v>
      </c>
      <c r="B29" s="112"/>
      <c r="C29" s="85"/>
      <c r="D29" s="74"/>
      <c r="E29" s="86"/>
      <c r="F29" s="74"/>
      <c r="G29" s="86"/>
      <c r="H29" s="74"/>
      <c r="I29" s="86"/>
      <c r="J29" s="74"/>
      <c r="K29" s="86"/>
      <c r="L29" s="74"/>
      <c r="M29" s="86"/>
      <c r="N29" s="74"/>
      <c r="O29" s="86"/>
      <c r="P29" s="74"/>
      <c r="Q29" s="86"/>
      <c r="R29" s="74"/>
      <c r="S29" s="86"/>
      <c r="T29" s="74"/>
      <c r="U29" s="86"/>
      <c r="V29" s="76"/>
      <c r="W29" s="50"/>
    </row>
    <row r="30" spans="1:24" ht="13.5" thickBot="1">
      <c r="A30" s="40" t="s">
        <v>43</v>
      </c>
      <c r="B30" s="75">
        <f>SUM(C30:V30)</f>
        <v>591742.13</v>
      </c>
      <c r="C30" s="87">
        <f>C31+C32+C33</f>
        <v>5761.3</v>
      </c>
      <c r="D30" s="87">
        <f>D31+D32+D33</f>
        <v>29700.74</v>
      </c>
      <c r="E30" s="87">
        <f aca="true" t="shared" si="2" ref="E30:V30">E31+E32+E33</f>
        <v>90610.77</v>
      </c>
      <c r="F30" s="87">
        <f t="shared" si="2"/>
        <v>10094.44</v>
      </c>
      <c r="G30" s="87">
        <f t="shared" si="2"/>
        <v>70069.86</v>
      </c>
      <c r="H30" s="87">
        <f t="shared" si="2"/>
        <v>11461.3</v>
      </c>
      <c r="I30" s="87">
        <f t="shared" si="2"/>
        <v>31691.24</v>
      </c>
      <c r="J30" s="87">
        <f t="shared" si="2"/>
        <v>33410.229999999996</v>
      </c>
      <c r="K30" s="87">
        <f t="shared" si="2"/>
        <v>37486.75</v>
      </c>
      <c r="L30" s="87">
        <f t="shared" si="2"/>
        <v>41451</v>
      </c>
      <c r="M30" s="87">
        <f t="shared" si="2"/>
        <v>25721.3</v>
      </c>
      <c r="N30" s="87">
        <f t="shared" si="2"/>
        <v>9806.77</v>
      </c>
      <c r="O30" s="87">
        <f t="shared" si="2"/>
        <v>2000</v>
      </c>
      <c r="P30" s="87">
        <f t="shared" si="2"/>
        <v>76840.29999999999</v>
      </c>
      <c r="Q30" s="87">
        <f t="shared" si="2"/>
        <v>76829.53</v>
      </c>
      <c r="R30" s="87">
        <f t="shared" si="2"/>
        <v>11049.6</v>
      </c>
      <c r="S30" s="87">
        <f t="shared" si="2"/>
        <v>7790.610000000001</v>
      </c>
      <c r="T30" s="87">
        <f t="shared" si="2"/>
        <v>2061.3</v>
      </c>
      <c r="U30" s="87">
        <f t="shared" si="2"/>
        <v>6443.79</v>
      </c>
      <c r="V30" s="87">
        <f t="shared" si="2"/>
        <v>11461.3</v>
      </c>
      <c r="W30" s="49">
        <f>W31+W32+W33</f>
        <v>0</v>
      </c>
      <c r="X30" s="62"/>
    </row>
    <row r="31" spans="1:24" ht="13.5" thickBot="1">
      <c r="A31" s="4" t="s">
        <v>44</v>
      </c>
      <c r="B31" s="124">
        <f>SUM(C31:V31)</f>
        <v>196574.08</v>
      </c>
      <c r="C31" s="125"/>
      <c r="D31" s="77">
        <v>9397</v>
      </c>
      <c r="E31" s="80">
        <v>33994</v>
      </c>
      <c r="F31" s="77"/>
      <c r="G31" s="80">
        <v>24052</v>
      </c>
      <c r="H31" s="77"/>
      <c r="I31" s="80">
        <v>15201</v>
      </c>
      <c r="J31" s="77">
        <v>9615</v>
      </c>
      <c r="K31" s="80">
        <v>13534</v>
      </c>
      <c r="L31" s="77">
        <v>23775</v>
      </c>
      <c r="M31" s="80">
        <v>17000</v>
      </c>
      <c r="N31" s="77">
        <f>3220+2874</f>
        <v>6094</v>
      </c>
      <c r="O31" s="80"/>
      <c r="P31" s="77">
        <v>29838</v>
      </c>
      <c r="Q31" s="80">
        <v>8385</v>
      </c>
      <c r="R31" s="77"/>
      <c r="S31" s="80">
        <v>2241</v>
      </c>
      <c r="T31" s="77"/>
      <c r="U31" s="80">
        <v>3448.08</v>
      </c>
      <c r="V31" s="88"/>
      <c r="W31" s="36">
        <f>$B$31/$B$18*W18</f>
        <v>0</v>
      </c>
      <c r="X31" s="62"/>
    </row>
    <row r="32" spans="1:24" ht="13.5" thickBot="1">
      <c r="A32" s="23" t="s">
        <v>45</v>
      </c>
      <c r="B32" s="124">
        <f aca="true" t="shared" si="3" ref="B32:B43">SUM(C32:V32)</f>
        <v>53271.56</v>
      </c>
      <c r="C32" s="89"/>
      <c r="D32" s="78">
        <v>2546.59</v>
      </c>
      <c r="E32" s="81">
        <v>9212.37</v>
      </c>
      <c r="F32" s="78"/>
      <c r="G32" s="81">
        <v>6518.09</v>
      </c>
      <c r="H32" s="78"/>
      <c r="I32" s="81">
        <v>4119.47</v>
      </c>
      <c r="J32" s="78">
        <v>2605.67</v>
      </c>
      <c r="K32" s="81">
        <v>3667.71</v>
      </c>
      <c r="L32" s="78">
        <v>6443.03</v>
      </c>
      <c r="M32" s="81">
        <v>4607</v>
      </c>
      <c r="N32" s="78">
        <f>872.62+778.85</f>
        <v>1651.47</v>
      </c>
      <c r="O32" s="81"/>
      <c r="P32" s="78">
        <v>8086.1</v>
      </c>
      <c r="Q32" s="81">
        <v>2272.34</v>
      </c>
      <c r="R32" s="78"/>
      <c r="S32" s="81">
        <v>607.31</v>
      </c>
      <c r="T32" s="78"/>
      <c r="U32" s="81">
        <v>934.41</v>
      </c>
      <c r="V32" s="90"/>
      <c r="W32" s="83">
        <f>$B$32/$B$18*W18</f>
        <v>0</v>
      </c>
      <c r="X32" s="62"/>
    </row>
    <row r="33" spans="1:24" ht="13.5" thickBot="1">
      <c r="A33" s="4" t="s">
        <v>46</v>
      </c>
      <c r="B33" s="124">
        <f>SUM(C33:V33)</f>
        <v>341896.48999999993</v>
      </c>
      <c r="C33" s="91">
        <f>SUM(C34:C43)</f>
        <v>5761.3</v>
      </c>
      <c r="D33" s="91">
        <f aca="true" t="shared" si="4" ref="D33:V33">SUM(D34:D43)</f>
        <v>17757.15</v>
      </c>
      <c r="E33" s="91">
        <f>SUM(E34:E43)</f>
        <v>47404.4</v>
      </c>
      <c r="F33" s="91">
        <f t="shared" si="4"/>
        <v>10094.44</v>
      </c>
      <c r="G33" s="91">
        <f t="shared" si="4"/>
        <v>39499.770000000004</v>
      </c>
      <c r="H33" s="91">
        <f t="shared" si="4"/>
        <v>11461.3</v>
      </c>
      <c r="I33" s="91">
        <f t="shared" si="4"/>
        <v>12370.77</v>
      </c>
      <c r="J33" s="91">
        <f t="shared" si="4"/>
        <v>21189.559999999998</v>
      </c>
      <c r="K33" s="91">
        <f t="shared" si="4"/>
        <v>20285.039999999997</v>
      </c>
      <c r="L33" s="91">
        <f t="shared" si="4"/>
        <v>11232.97</v>
      </c>
      <c r="M33" s="91">
        <f t="shared" si="4"/>
        <v>4114.3</v>
      </c>
      <c r="N33" s="91">
        <f t="shared" si="4"/>
        <v>2061.3</v>
      </c>
      <c r="O33" s="91">
        <f t="shared" si="4"/>
        <v>2000</v>
      </c>
      <c r="P33" s="91">
        <f t="shared" si="4"/>
        <v>38916.2</v>
      </c>
      <c r="Q33" s="91">
        <f t="shared" si="4"/>
        <v>66172.19</v>
      </c>
      <c r="R33" s="91">
        <f t="shared" si="4"/>
        <v>11049.6</v>
      </c>
      <c r="S33" s="91">
        <f t="shared" si="4"/>
        <v>4942.3</v>
      </c>
      <c r="T33" s="91">
        <f t="shared" si="4"/>
        <v>2061.3</v>
      </c>
      <c r="U33" s="91">
        <f t="shared" si="4"/>
        <v>2061.3</v>
      </c>
      <c r="V33" s="91">
        <f t="shared" si="4"/>
        <v>11461.3</v>
      </c>
      <c r="W33" s="84">
        <f>SUM(W34:W42)</f>
        <v>0</v>
      </c>
      <c r="X33" s="62"/>
    </row>
    <row r="34" spans="1:24" ht="26.25" customHeight="1" thickBot="1">
      <c r="A34" s="107" t="s">
        <v>47</v>
      </c>
      <c r="B34" s="124">
        <f t="shared" si="3"/>
        <v>42936.99</v>
      </c>
      <c r="C34" s="91"/>
      <c r="D34" s="68"/>
      <c r="E34" s="82">
        <f>2038+224.4</f>
        <v>2262.4</v>
      </c>
      <c r="F34" s="68">
        <f>3508.34+4076+448.8</f>
        <v>8033.14</v>
      </c>
      <c r="G34" s="82">
        <f>4076+448.8</f>
        <v>4524.8</v>
      </c>
      <c r="H34" s="68"/>
      <c r="I34" s="82">
        <f>4076+448.8</f>
        <v>4524.8</v>
      </c>
      <c r="J34" s="68"/>
      <c r="K34" s="82"/>
      <c r="L34" s="68"/>
      <c r="M34" s="82"/>
      <c r="N34" s="68"/>
      <c r="O34" s="82"/>
      <c r="P34" s="68">
        <f>3182.65+4076+448.8</f>
        <v>7707.45</v>
      </c>
      <c r="Q34" s="82">
        <f>4076+448.8</f>
        <v>4524.8</v>
      </c>
      <c r="R34" s="68">
        <f>8152+897.6</f>
        <v>9049.6</v>
      </c>
      <c r="S34" s="82">
        <v>2310</v>
      </c>
      <c r="T34" s="68"/>
      <c r="U34" s="82"/>
      <c r="V34" s="79"/>
      <c r="W34" s="27"/>
      <c r="X34" s="62"/>
    </row>
    <row r="35" spans="1:24" ht="26.25" thickBot="1">
      <c r="A35" s="108" t="s">
        <v>53</v>
      </c>
      <c r="B35" s="124">
        <f t="shared" si="3"/>
        <v>60421</v>
      </c>
      <c r="C35" s="92"/>
      <c r="D35" s="69"/>
      <c r="E35" s="72"/>
      <c r="F35" s="69"/>
      <c r="G35" s="72"/>
      <c r="H35" s="69">
        <v>9400</v>
      </c>
      <c r="I35" s="72"/>
      <c r="J35" s="69"/>
      <c r="K35" s="72"/>
      <c r="L35" s="69"/>
      <c r="M35" s="72"/>
      <c r="N35" s="69"/>
      <c r="O35" s="72"/>
      <c r="P35" s="69"/>
      <c r="Q35" s="72">
        <v>41050</v>
      </c>
      <c r="R35" s="69"/>
      <c r="S35" s="72">
        <v>571</v>
      </c>
      <c r="T35" s="68"/>
      <c r="U35" s="72"/>
      <c r="V35" s="70">
        <v>9400</v>
      </c>
      <c r="W35" s="8"/>
      <c r="X35" s="62"/>
    </row>
    <row r="36" spans="1:24" ht="13.5" thickBot="1">
      <c r="A36" s="109" t="s">
        <v>62</v>
      </c>
      <c r="B36" s="124">
        <f t="shared" si="3"/>
        <v>3060</v>
      </c>
      <c r="C36" s="91"/>
      <c r="D36" s="68"/>
      <c r="E36" s="82">
        <v>3060</v>
      </c>
      <c r="F36" s="68"/>
      <c r="G36" s="82"/>
      <c r="H36" s="68"/>
      <c r="I36" s="82"/>
      <c r="J36" s="68"/>
      <c r="K36" s="82"/>
      <c r="L36" s="68"/>
      <c r="M36" s="82"/>
      <c r="N36" s="68"/>
      <c r="O36" s="82"/>
      <c r="P36" s="68"/>
      <c r="Q36" s="82"/>
      <c r="R36" s="68"/>
      <c r="S36" s="82"/>
      <c r="T36" s="68"/>
      <c r="U36" s="82"/>
      <c r="V36" s="79"/>
      <c r="W36" s="27"/>
      <c r="X36" s="62"/>
    </row>
    <row r="37" spans="1:24" ht="13.5" thickBot="1">
      <c r="A37" s="42" t="s">
        <v>49</v>
      </c>
      <c r="B37" s="124">
        <f t="shared" si="3"/>
        <v>140140.90999999997</v>
      </c>
      <c r="C37" s="92"/>
      <c r="D37" s="69">
        <f>6228+7600+267.85+1600</f>
        <v>15695.85</v>
      </c>
      <c r="E37" s="72">
        <f>8882+31200</f>
        <v>40082</v>
      </c>
      <c r="F37" s="69"/>
      <c r="G37" s="72">
        <f>249.67+26400+6264</f>
        <v>32913.67</v>
      </c>
      <c r="H37" s="69"/>
      <c r="I37" s="72"/>
      <c r="J37" s="69">
        <f>9840+250.26+4538</f>
        <v>14628.26</v>
      </c>
      <c r="K37" s="72">
        <f>7813.48+10160+250.26</f>
        <v>18223.739999999998</v>
      </c>
      <c r="L37" s="69"/>
      <c r="M37" s="72"/>
      <c r="N37" s="69"/>
      <c r="O37" s="72"/>
      <c r="P37" s="69"/>
      <c r="Q37" s="72">
        <f>10747.72+249.67+7600</f>
        <v>18597.39</v>
      </c>
      <c r="R37" s="69"/>
      <c r="S37" s="72"/>
      <c r="T37" s="69"/>
      <c r="U37" s="72"/>
      <c r="V37" s="70"/>
      <c r="W37" s="8"/>
      <c r="X37" s="62"/>
    </row>
    <row r="38" spans="1:24" ht="13.5" thickBot="1">
      <c r="A38" s="42" t="s">
        <v>50</v>
      </c>
      <c r="B38" s="124">
        <f t="shared" si="3"/>
        <v>14892</v>
      </c>
      <c r="C38" s="93"/>
      <c r="D38" s="68"/>
      <c r="E38" s="82"/>
      <c r="F38" s="68"/>
      <c r="G38" s="82"/>
      <c r="H38" s="68"/>
      <c r="I38" s="82"/>
      <c r="J38" s="68"/>
      <c r="K38" s="82"/>
      <c r="L38" s="68"/>
      <c r="M38" s="82"/>
      <c r="N38" s="68"/>
      <c r="O38" s="82"/>
      <c r="P38" s="68">
        <v>14892</v>
      </c>
      <c r="Q38" s="82"/>
      <c r="R38" s="68"/>
      <c r="S38" s="82"/>
      <c r="T38" s="68"/>
      <c r="U38" s="82"/>
      <c r="V38" s="79"/>
      <c r="W38" s="27"/>
      <c r="X38" s="62"/>
    </row>
    <row r="39" spans="1:24" ht="13.5" thickBot="1">
      <c r="A39" s="41" t="s">
        <v>82</v>
      </c>
      <c r="B39" s="124">
        <f t="shared" si="3"/>
        <v>15236.249999999996</v>
      </c>
      <c r="C39" s="94">
        <v>61.3</v>
      </c>
      <c r="D39" s="69">
        <v>61.3</v>
      </c>
      <c r="E39" s="72"/>
      <c r="F39" s="69">
        <v>61.3</v>
      </c>
      <c r="G39" s="72">
        <v>61.3</v>
      </c>
      <c r="H39" s="69">
        <v>61.3</v>
      </c>
      <c r="I39" s="72">
        <v>61.3</v>
      </c>
      <c r="J39" s="69">
        <v>61.3</v>
      </c>
      <c r="K39" s="72">
        <v>61.3</v>
      </c>
      <c r="L39" s="69">
        <v>61.3</v>
      </c>
      <c r="M39" s="72">
        <v>61.3</v>
      </c>
      <c r="N39" s="69">
        <v>61.3</v>
      </c>
      <c r="O39" s="72"/>
      <c r="P39" s="69">
        <f>7596.75+750+5970</f>
        <v>14316.75</v>
      </c>
      <c r="Q39" s="72"/>
      <c r="R39" s="69"/>
      <c r="S39" s="72">
        <v>61.3</v>
      </c>
      <c r="T39" s="69">
        <v>61.3</v>
      </c>
      <c r="U39" s="72">
        <v>61.3</v>
      </c>
      <c r="V39" s="70">
        <v>61.3</v>
      </c>
      <c r="W39" s="8"/>
      <c r="X39" s="62"/>
    </row>
    <row r="40" spans="1:24" ht="13.5" thickBot="1">
      <c r="A40" s="95" t="s">
        <v>79</v>
      </c>
      <c r="B40" s="124">
        <f t="shared" si="3"/>
        <v>4500</v>
      </c>
      <c r="C40" s="96"/>
      <c r="D40" s="97"/>
      <c r="E40" s="98"/>
      <c r="F40" s="97"/>
      <c r="G40" s="98"/>
      <c r="H40" s="97"/>
      <c r="I40" s="98"/>
      <c r="J40" s="97">
        <v>4500</v>
      </c>
      <c r="K40" s="98"/>
      <c r="L40" s="97"/>
      <c r="M40" s="98"/>
      <c r="N40" s="97"/>
      <c r="O40" s="98"/>
      <c r="P40" s="97"/>
      <c r="Q40" s="98"/>
      <c r="R40" s="97"/>
      <c r="S40" s="98"/>
      <c r="T40" s="97"/>
      <c r="U40" s="98"/>
      <c r="V40" s="99"/>
      <c r="W40" s="6"/>
      <c r="X40" s="62"/>
    </row>
    <row r="41" spans="1:23" ht="13.5" thickBot="1">
      <c r="A41" s="41" t="s">
        <v>78</v>
      </c>
      <c r="B41" s="124">
        <f t="shared" si="3"/>
        <v>3700</v>
      </c>
      <c r="C41" s="92">
        <v>3700</v>
      </c>
      <c r="D41" s="69"/>
      <c r="E41" s="72"/>
      <c r="F41" s="69"/>
      <c r="G41" s="72"/>
      <c r="H41" s="69"/>
      <c r="I41" s="72"/>
      <c r="J41" s="69"/>
      <c r="K41" s="72"/>
      <c r="L41" s="69"/>
      <c r="M41" s="72"/>
      <c r="N41" s="69"/>
      <c r="O41" s="72"/>
      <c r="P41" s="69"/>
      <c r="Q41" s="72"/>
      <c r="R41" s="69"/>
      <c r="S41" s="72"/>
      <c r="T41" s="69"/>
      <c r="U41" s="72"/>
      <c r="V41" s="70"/>
      <c r="W41" s="6"/>
    </row>
    <row r="42" spans="1:23" ht="13.5" thickBot="1">
      <c r="A42" s="100" t="s">
        <v>60</v>
      </c>
      <c r="B42" s="124">
        <f t="shared" si="3"/>
        <v>17009.34</v>
      </c>
      <c r="C42" s="98"/>
      <c r="D42" s="98"/>
      <c r="E42" s="98"/>
      <c r="F42" s="98"/>
      <c r="G42" s="98"/>
      <c r="H42" s="98"/>
      <c r="I42" s="98">
        <f>249.67+5535</f>
        <v>5784.67</v>
      </c>
      <c r="J42" s="98"/>
      <c r="K42" s="98"/>
      <c r="L42" s="98">
        <f>8922+249.67</f>
        <v>9171.67</v>
      </c>
      <c r="M42" s="98">
        <v>2053</v>
      </c>
      <c r="N42" s="98"/>
      <c r="O42" s="98"/>
      <c r="P42" s="98"/>
      <c r="Q42" s="98"/>
      <c r="R42" s="98"/>
      <c r="S42" s="98"/>
      <c r="T42" s="98"/>
      <c r="U42" s="98"/>
      <c r="V42" s="98"/>
      <c r="W42" s="6"/>
    </row>
    <row r="43" spans="1:23" ht="13.5" thickBot="1">
      <c r="A43" s="41" t="s">
        <v>81</v>
      </c>
      <c r="B43" s="167">
        <f t="shared" si="3"/>
        <v>40000</v>
      </c>
      <c r="C43" s="71">
        <v>2000</v>
      </c>
      <c r="D43" s="71">
        <v>2000</v>
      </c>
      <c r="E43" s="71">
        <v>2000</v>
      </c>
      <c r="F43" s="71">
        <v>2000</v>
      </c>
      <c r="G43" s="71">
        <v>2000</v>
      </c>
      <c r="H43" s="71">
        <v>2000</v>
      </c>
      <c r="I43" s="71">
        <v>2000</v>
      </c>
      <c r="J43" s="71">
        <v>2000</v>
      </c>
      <c r="K43" s="71">
        <v>2000</v>
      </c>
      <c r="L43" s="71">
        <v>2000</v>
      </c>
      <c r="M43" s="71">
        <v>2000</v>
      </c>
      <c r="N43" s="71">
        <v>2000</v>
      </c>
      <c r="O43" s="71">
        <v>2000</v>
      </c>
      <c r="P43" s="71">
        <v>2000</v>
      </c>
      <c r="Q43" s="71">
        <v>2000</v>
      </c>
      <c r="R43" s="71">
        <v>2000</v>
      </c>
      <c r="S43" s="71">
        <v>2000</v>
      </c>
      <c r="T43" s="71">
        <v>2000</v>
      </c>
      <c r="U43" s="71">
        <v>2000</v>
      </c>
      <c r="V43" s="71">
        <v>2000</v>
      </c>
      <c r="W43" s="6"/>
    </row>
    <row r="44" spans="1:23" ht="26.25" thickBot="1">
      <c r="A44" s="113" t="s">
        <v>84</v>
      </c>
      <c r="B44" s="43">
        <f>SUM(C44:V44)</f>
        <v>365452.73999999993</v>
      </c>
      <c r="C44" s="101">
        <f>C21+C25-C30</f>
        <v>6448.299999999998</v>
      </c>
      <c r="D44" s="101">
        <f aca="true" t="shared" si="5" ref="D44:V44">D21+D25-D30</f>
        <v>794.989999999998</v>
      </c>
      <c r="E44" s="101">
        <f t="shared" si="5"/>
        <v>-23729.15000000001</v>
      </c>
      <c r="F44" s="101">
        <f t="shared" si="5"/>
        <v>16510.119999999995</v>
      </c>
      <c r="G44" s="101">
        <f t="shared" si="5"/>
        <v>-807.8699999999953</v>
      </c>
      <c r="H44" s="101">
        <f t="shared" si="5"/>
        <v>31369.49</v>
      </c>
      <c r="I44" s="101">
        <f t="shared" si="5"/>
        <v>37871.17999999999</v>
      </c>
      <c r="J44" s="101">
        <f t="shared" si="5"/>
        <v>13078.930000000008</v>
      </c>
      <c r="K44" s="101">
        <f t="shared" si="5"/>
        <v>33449.61</v>
      </c>
      <c r="L44" s="101">
        <f t="shared" si="5"/>
        <v>4220.040000000001</v>
      </c>
      <c r="M44" s="101">
        <f t="shared" si="5"/>
        <v>34582.520000000004</v>
      </c>
      <c r="N44" s="101">
        <f t="shared" si="5"/>
        <v>34287.45</v>
      </c>
      <c r="O44" s="101">
        <f t="shared" si="5"/>
        <v>9481.6</v>
      </c>
      <c r="P44" s="101">
        <f t="shared" si="5"/>
        <v>1798.9600000000064</v>
      </c>
      <c r="Q44" s="101">
        <f t="shared" si="5"/>
        <v>-4415.720000000001</v>
      </c>
      <c r="R44" s="101">
        <f t="shared" si="5"/>
        <v>42669.27</v>
      </c>
      <c r="S44" s="101">
        <f t="shared" si="5"/>
        <v>24557.66</v>
      </c>
      <c r="T44" s="101">
        <f t="shared" si="5"/>
        <v>49448.73999999999</v>
      </c>
      <c r="U44" s="101">
        <f t="shared" si="5"/>
        <v>26082.92</v>
      </c>
      <c r="V44" s="168">
        <f t="shared" si="5"/>
        <v>27753.7</v>
      </c>
      <c r="W44" s="43" t="e">
        <f>W21+W25-#REF!</f>
        <v>#REF!</v>
      </c>
    </row>
    <row r="45" ht="12.75">
      <c r="B45" s="62"/>
    </row>
    <row r="46" spans="2:4" ht="12.75">
      <c r="B46" t="s">
        <v>52</v>
      </c>
      <c r="D46" s="60"/>
    </row>
    <row r="47" ht="12.75">
      <c r="B47" t="s">
        <v>48</v>
      </c>
    </row>
    <row r="48" ht="12.75">
      <c r="J48" s="59"/>
    </row>
    <row r="49" spans="1:11" ht="12.75">
      <c r="A49" s="1" t="s">
        <v>73</v>
      </c>
      <c r="B49" t="s">
        <v>58</v>
      </c>
      <c r="K49" t="s">
        <v>59</v>
      </c>
    </row>
    <row r="50" ht="12.75">
      <c r="A50" s="1"/>
    </row>
    <row r="51" ht="12.75">
      <c r="A51" s="1"/>
    </row>
  </sheetData>
  <sheetProtection/>
  <mergeCells count="4">
    <mergeCell ref="A8:B8"/>
    <mergeCell ref="A9:B9"/>
    <mergeCell ref="C11:W11"/>
    <mergeCell ref="B6:O7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8.140625" style="0" customWidth="1"/>
    <col min="2" max="2" width="19.28125" style="0" customWidth="1"/>
    <col min="3" max="3" width="16.421875" style="0" customWidth="1"/>
    <col min="4" max="4" width="10.57421875" style="0" customWidth="1"/>
    <col min="5" max="5" width="11.7109375" style="0" customWidth="1"/>
    <col min="7" max="7" width="9.57421875" style="0" bestFit="1" customWidth="1"/>
    <col min="10" max="10" width="9.7109375" style="0" bestFit="1" customWidth="1"/>
    <col min="11" max="11" width="11.7109375" style="0" customWidth="1"/>
    <col min="13" max="13" width="10.8515625" style="0" customWidth="1"/>
    <col min="14" max="15" width="11.00390625" style="0" customWidth="1"/>
    <col min="16" max="16" width="11.28125" style="0" customWidth="1"/>
    <col min="17" max="17" width="11.57421875" style="0" customWidth="1"/>
    <col min="18" max="18" width="12.140625" style="0" customWidth="1"/>
    <col min="19" max="19" width="11.28125" style="0" customWidth="1"/>
    <col min="20" max="21" width="11.140625" style="0" customWidth="1"/>
    <col min="22" max="22" width="10.8515625" style="0" customWidth="1"/>
    <col min="23" max="23" width="11.140625" style="0" customWidth="1"/>
    <col min="24" max="24" width="9.57421875" style="0" bestFit="1" customWidth="1"/>
  </cols>
  <sheetData>
    <row r="2" spans="1:20" ht="12.75">
      <c r="A2" t="s">
        <v>71</v>
      </c>
      <c r="T2" t="s">
        <v>0</v>
      </c>
    </row>
    <row r="3" spans="1:20" ht="12.75">
      <c r="A3" t="s">
        <v>102</v>
      </c>
      <c r="T3" t="s">
        <v>1</v>
      </c>
    </row>
    <row r="4" ht="12.75">
      <c r="T4" t="s">
        <v>2</v>
      </c>
    </row>
    <row r="5" spans="3:22" ht="12.75">
      <c r="C5" s="1"/>
      <c r="F5" s="1"/>
      <c r="H5" s="1"/>
      <c r="T5" s="1"/>
      <c r="V5" s="1" t="s">
        <v>3</v>
      </c>
    </row>
    <row r="6" spans="1:2" ht="12.75">
      <c r="A6" s="166" t="s">
        <v>100</v>
      </c>
      <c r="B6" s="54"/>
    </row>
    <row r="7" spans="3:21" ht="12.75">
      <c r="C7" s="176" t="s">
        <v>85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U7" s="159" t="s">
        <v>100</v>
      </c>
    </row>
    <row r="8" spans="1:16" ht="20.25" customHeight="1">
      <c r="A8" s="61"/>
      <c r="B8" s="61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</row>
    <row r="9" spans="1:5" ht="12.75">
      <c r="A9" s="169"/>
      <c r="B9" s="169"/>
      <c r="C9" s="169"/>
      <c r="E9" t="s">
        <v>74</v>
      </c>
    </row>
    <row r="10" spans="1:3" ht="12.75">
      <c r="A10" s="169"/>
      <c r="B10" s="169"/>
      <c r="C10" s="169"/>
    </row>
    <row r="11" ht="13.5" thickBot="1">
      <c r="J11" s="54"/>
    </row>
    <row r="12" spans="1:23" ht="12.75">
      <c r="A12" s="2"/>
      <c r="B12" s="157" t="s">
        <v>87</v>
      </c>
      <c r="C12" s="155" t="s">
        <v>92</v>
      </c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2"/>
    </row>
    <row r="13" spans="1:23" ht="12.75">
      <c r="A13" s="4"/>
      <c r="B13" s="158" t="s">
        <v>88</v>
      </c>
      <c r="C13" s="156" t="s">
        <v>91</v>
      </c>
      <c r="D13" s="4" t="s">
        <v>7</v>
      </c>
      <c r="E13" s="7" t="s">
        <v>8</v>
      </c>
      <c r="F13" s="6" t="s">
        <v>9</v>
      </c>
      <c r="G13" s="7" t="s">
        <v>10</v>
      </c>
      <c r="H13" s="6" t="s">
        <v>11</v>
      </c>
      <c r="I13" s="7" t="s">
        <v>12</v>
      </c>
      <c r="J13" s="6" t="s">
        <v>13</v>
      </c>
      <c r="K13" s="7" t="s">
        <v>14</v>
      </c>
      <c r="L13" s="6" t="s">
        <v>15</v>
      </c>
      <c r="M13" s="7" t="s">
        <v>16</v>
      </c>
      <c r="N13" s="6" t="s">
        <v>17</v>
      </c>
      <c r="O13" s="7" t="s">
        <v>18</v>
      </c>
      <c r="P13" s="6" t="s">
        <v>19</v>
      </c>
      <c r="Q13" s="7" t="s">
        <v>20</v>
      </c>
      <c r="R13" s="6" t="s">
        <v>21</v>
      </c>
      <c r="S13" s="7" t="s">
        <v>22</v>
      </c>
      <c r="T13" s="6" t="s">
        <v>23</v>
      </c>
      <c r="U13" s="7" t="s">
        <v>24</v>
      </c>
      <c r="V13" s="6" t="s">
        <v>25</v>
      </c>
      <c r="W13" s="7" t="s">
        <v>26</v>
      </c>
    </row>
    <row r="14" spans="1:23" ht="13.5" thickBot="1">
      <c r="A14" s="4"/>
      <c r="B14" s="158" t="s">
        <v>93</v>
      </c>
      <c r="C14" s="8" t="s">
        <v>6</v>
      </c>
      <c r="D14" s="4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</row>
    <row r="15" spans="1:23" ht="12.75">
      <c r="A15" s="9" t="s">
        <v>28</v>
      </c>
      <c r="B15" s="141"/>
      <c r="C15" s="12"/>
      <c r="D15" s="4"/>
      <c r="E15" s="7"/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</row>
    <row r="16" spans="1:23" ht="13.5" thickBot="1">
      <c r="A16" s="4"/>
      <c r="B16" s="140"/>
      <c r="C16" s="8"/>
      <c r="D16" s="30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</row>
    <row r="17" spans="1:23" ht="12.75">
      <c r="A17" s="2" t="s">
        <v>29</v>
      </c>
      <c r="B17" s="142"/>
      <c r="C17" s="12"/>
      <c r="D17" s="10"/>
      <c r="E17" s="11"/>
      <c r="F17" s="10"/>
      <c r="G17" s="11"/>
      <c r="H17" s="10"/>
      <c r="I17" s="128" t="s">
        <v>94</v>
      </c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11"/>
    </row>
    <row r="18" spans="1:23" ht="12.75">
      <c r="A18" s="13" t="s">
        <v>30</v>
      </c>
      <c r="B18" s="143"/>
      <c r="C18" s="131"/>
      <c r="D18" s="6"/>
      <c r="E18" s="7"/>
      <c r="F18" s="6"/>
      <c r="G18" s="7"/>
      <c r="H18" s="6"/>
      <c r="I18" s="160" t="s">
        <v>63</v>
      </c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</row>
    <row r="19" spans="1:23" ht="13.5" thickBot="1">
      <c r="A19" s="15" t="s">
        <v>61</v>
      </c>
      <c r="B19" s="144">
        <v>5771.93</v>
      </c>
      <c r="C19" s="132">
        <f>D19+F19+G19+H19+I19+J19+K19+L19+O19+T19+U19</f>
        <v>3204.57</v>
      </c>
      <c r="D19" s="17">
        <v>299.7</v>
      </c>
      <c r="E19" s="18">
        <v>296.97</v>
      </c>
      <c r="F19" s="17">
        <v>295.04</v>
      </c>
      <c r="G19" s="18">
        <v>296.85</v>
      </c>
      <c r="H19" s="17">
        <v>296.1</v>
      </c>
      <c r="I19" s="18">
        <v>301.07</v>
      </c>
      <c r="J19" s="17">
        <v>299.18</v>
      </c>
      <c r="K19" s="18">
        <v>297.6</v>
      </c>
      <c r="L19" s="17">
        <v>296.71</v>
      </c>
      <c r="M19" s="18">
        <v>297.31</v>
      </c>
      <c r="N19" s="17">
        <v>294.74</v>
      </c>
      <c r="O19" s="18">
        <v>228.84</v>
      </c>
      <c r="P19" s="17">
        <v>297.1</v>
      </c>
      <c r="Q19" s="18">
        <v>295.54</v>
      </c>
      <c r="R19" s="17">
        <v>298.94</v>
      </c>
      <c r="S19" s="18">
        <v>298.37</v>
      </c>
      <c r="T19" s="17">
        <v>298.5</v>
      </c>
      <c r="U19" s="18">
        <v>294.98</v>
      </c>
      <c r="V19" s="17">
        <v>295.89</v>
      </c>
      <c r="W19" s="18">
        <v>296.3</v>
      </c>
    </row>
    <row r="20" spans="1:23" ht="12.75">
      <c r="A20" s="117" t="s">
        <v>90</v>
      </c>
      <c r="B20" s="142">
        <v>1.84</v>
      </c>
      <c r="C20" s="133">
        <v>1</v>
      </c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</row>
    <row r="21" spans="1:23" ht="13.5" thickBot="1">
      <c r="A21" s="114" t="s">
        <v>89</v>
      </c>
      <c r="B21" s="145"/>
      <c r="C21" s="132">
        <v>6.67</v>
      </c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17"/>
      <c r="W21" s="18"/>
    </row>
    <row r="22" spans="1:23" ht="13.5" thickBot="1">
      <c r="A22" s="44" t="s">
        <v>75</v>
      </c>
      <c r="B22" s="149"/>
      <c r="C22" s="19">
        <f>SUM(D22:W22)</f>
        <v>8223.97</v>
      </c>
      <c r="D22" s="17">
        <v>654.47</v>
      </c>
      <c r="E22" s="17">
        <v>0</v>
      </c>
      <c r="F22" s="17">
        <v>0</v>
      </c>
      <c r="G22" s="17">
        <v>1066.42</v>
      </c>
      <c r="H22" s="17">
        <v>-2909.8</v>
      </c>
      <c r="I22" s="17">
        <v>9948.22</v>
      </c>
      <c r="J22" s="17">
        <v>-2943.24</v>
      </c>
      <c r="K22" s="17">
        <v>895.01</v>
      </c>
      <c r="L22" s="17">
        <v>-159.82</v>
      </c>
      <c r="M22" s="17">
        <v>0</v>
      </c>
      <c r="N22" s="17">
        <v>143.88</v>
      </c>
      <c r="O22" s="17">
        <v>-1936.9</v>
      </c>
      <c r="P22" s="17">
        <v>0</v>
      </c>
      <c r="Q22" s="17">
        <v>0</v>
      </c>
      <c r="R22" s="17">
        <v>0</v>
      </c>
      <c r="S22" s="17">
        <v>0</v>
      </c>
      <c r="T22" s="17">
        <v>2538.89</v>
      </c>
      <c r="U22" s="17">
        <v>0</v>
      </c>
      <c r="V22" s="17">
        <v>926.84</v>
      </c>
      <c r="W22" s="17">
        <v>0</v>
      </c>
    </row>
    <row r="23" spans="1:23" ht="26.25" thickBot="1">
      <c r="A23" s="106" t="s">
        <v>54</v>
      </c>
      <c r="B23" s="150"/>
      <c r="C23" s="134">
        <f>C26</f>
        <v>210542.09999999998</v>
      </c>
      <c r="D23" s="32">
        <f>D26</f>
        <v>24340.48</v>
      </c>
      <c r="E23" s="32">
        <f aca="true" t="shared" si="0" ref="E23:W23">E26</f>
        <v>0</v>
      </c>
      <c r="F23" s="32">
        <f t="shared" si="0"/>
        <v>6860.76</v>
      </c>
      <c r="G23" s="32">
        <f t="shared" si="0"/>
        <v>23856.37</v>
      </c>
      <c r="H23" s="32">
        <f t="shared" si="0"/>
        <v>18877.54</v>
      </c>
      <c r="I23" s="32">
        <f t="shared" si="0"/>
        <v>18058.4</v>
      </c>
      <c r="J23" s="32">
        <f t="shared" si="0"/>
        <v>17726.32</v>
      </c>
      <c r="K23" s="32">
        <f t="shared" si="0"/>
        <v>15708.87</v>
      </c>
      <c r="L23" s="32">
        <f t="shared" si="0"/>
        <v>26311.47</v>
      </c>
      <c r="M23" s="32">
        <f t="shared" si="0"/>
        <v>0</v>
      </c>
      <c r="N23" s="32">
        <f t="shared" si="0"/>
        <v>0</v>
      </c>
      <c r="O23" s="32">
        <f t="shared" si="0"/>
        <v>15098.55</v>
      </c>
      <c r="P23" s="32">
        <f t="shared" si="0"/>
        <v>0</v>
      </c>
      <c r="Q23" s="32">
        <f t="shared" si="0"/>
        <v>0</v>
      </c>
      <c r="R23" s="32">
        <f t="shared" si="0"/>
        <v>0</v>
      </c>
      <c r="S23" s="32">
        <f t="shared" si="0"/>
        <v>0</v>
      </c>
      <c r="T23" s="32">
        <f t="shared" si="0"/>
        <v>21691.4</v>
      </c>
      <c r="U23" s="32">
        <f t="shared" si="0"/>
        <v>17158.83</v>
      </c>
      <c r="V23" s="32">
        <f t="shared" si="0"/>
        <v>4853.11</v>
      </c>
      <c r="W23" s="32">
        <f t="shared" si="0"/>
        <v>0</v>
      </c>
    </row>
    <row r="24" spans="1:23" ht="13.5" thickBot="1">
      <c r="A24" s="126" t="s">
        <v>76</v>
      </c>
      <c r="B24" s="151"/>
      <c r="C24" s="12">
        <f>SUM(D24:W24)</f>
        <v>88217.40000000001</v>
      </c>
      <c r="D24" s="10">
        <v>6184.08</v>
      </c>
      <c r="E24" s="11">
        <v>-1487.15</v>
      </c>
      <c r="F24" s="10">
        <v>-1255.18</v>
      </c>
      <c r="G24" s="128">
        <v>3209.59</v>
      </c>
      <c r="H24" s="10">
        <v>27233.9</v>
      </c>
      <c r="I24" s="11">
        <v>3036.46</v>
      </c>
      <c r="J24" s="10">
        <v>8626.06</v>
      </c>
      <c r="K24" s="11">
        <v>17944.39</v>
      </c>
      <c r="L24" s="10">
        <v>6639.54</v>
      </c>
      <c r="M24" s="11">
        <v>-2.02</v>
      </c>
      <c r="N24" s="127">
        <v>-61.93</v>
      </c>
      <c r="O24" s="11">
        <v>10483.3</v>
      </c>
      <c r="P24" s="10">
        <v>-194.52</v>
      </c>
      <c r="Q24" s="11">
        <v>-190.49</v>
      </c>
      <c r="R24" s="10">
        <v>-54.33</v>
      </c>
      <c r="S24" s="11">
        <v>-273.93</v>
      </c>
      <c r="T24" s="10">
        <v>2316.81</v>
      </c>
      <c r="U24" s="128">
        <v>1320.63</v>
      </c>
      <c r="V24" s="10">
        <v>4759.39</v>
      </c>
      <c r="W24" s="11">
        <v>-17.2</v>
      </c>
    </row>
    <row r="25" spans="1:23" ht="13.5" thickBot="1">
      <c r="A25" s="15" t="s">
        <v>31</v>
      </c>
      <c r="B25" s="53"/>
      <c r="C25" s="12">
        <f>SUM(D25:W25)</f>
        <v>238651.96999999997</v>
      </c>
      <c r="D25" s="55">
        <v>23767.98</v>
      </c>
      <c r="E25" s="64">
        <v>0</v>
      </c>
      <c r="F25" s="65">
        <v>11805.96</v>
      </c>
      <c r="G25" s="64">
        <v>23715.96</v>
      </c>
      <c r="H25" s="65">
        <v>23700</v>
      </c>
      <c r="I25" s="64">
        <f>15693.6+2801.4</f>
        <v>18495</v>
      </c>
      <c r="J25" s="65">
        <v>23791.2</v>
      </c>
      <c r="K25" s="64">
        <v>23820</v>
      </c>
      <c r="L25" s="65">
        <v>23739.84</v>
      </c>
      <c r="M25" s="64">
        <v>0</v>
      </c>
      <c r="N25" s="65">
        <v>0</v>
      </c>
      <c r="O25" s="64">
        <v>18268.31</v>
      </c>
      <c r="P25" s="65">
        <v>0</v>
      </c>
      <c r="Q25" s="64">
        <v>0</v>
      </c>
      <c r="R25" s="65">
        <v>0</v>
      </c>
      <c r="S25" s="64">
        <v>0</v>
      </c>
      <c r="T25" s="65">
        <v>23937.48</v>
      </c>
      <c r="U25" s="64">
        <v>23610.24</v>
      </c>
      <c r="V25" s="65">
        <v>0</v>
      </c>
      <c r="W25" s="66">
        <v>0</v>
      </c>
    </row>
    <row r="26" spans="1:23" ht="13.5" thickBot="1">
      <c r="A26" s="4" t="s">
        <v>32</v>
      </c>
      <c r="B26" s="53"/>
      <c r="C26" s="12">
        <f>SUM(D26:W26)</f>
        <v>210542.09999999998</v>
      </c>
      <c r="D26" s="6">
        <v>24340.48</v>
      </c>
      <c r="E26" s="7">
        <v>0</v>
      </c>
      <c r="F26" s="47">
        <v>6860.76</v>
      </c>
      <c r="G26" s="7">
        <v>23856.37</v>
      </c>
      <c r="H26" s="45">
        <v>18877.54</v>
      </c>
      <c r="I26" s="7">
        <f>15257+2801.4</f>
        <v>18058.4</v>
      </c>
      <c r="J26" s="46">
        <v>17726.32</v>
      </c>
      <c r="K26" s="7">
        <v>15708.87</v>
      </c>
      <c r="L26" s="46">
        <v>26311.47</v>
      </c>
      <c r="M26" s="7">
        <v>0</v>
      </c>
      <c r="N26" s="46">
        <v>0</v>
      </c>
      <c r="O26" s="7">
        <v>15098.55</v>
      </c>
      <c r="P26" s="46">
        <v>0</v>
      </c>
      <c r="Q26" s="7">
        <v>0</v>
      </c>
      <c r="R26" s="46">
        <v>0</v>
      </c>
      <c r="S26" s="7">
        <v>0</v>
      </c>
      <c r="T26" s="46">
        <v>21691.4</v>
      </c>
      <c r="U26" s="7">
        <v>17158.83</v>
      </c>
      <c r="V26" s="46">
        <v>4853.11</v>
      </c>
      <c r="W26" s="7">
        <v>0</v>
      </c>
    </row>
    <row r="27" spans="1:23" ht="13.5" thickBot="1">
      <c r="A27" s="23" t="s">
        <v>33</v>
      </c>
      <c r="B27" s="147"/>
      <c r="C27" s="27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25"/>
      <c r="S27" s="26"/>
      <c r="T27" s="25"/>
      <c r="U27" s="11"/>
      <c r="V27" s="25"/>
      <c r="W27" s="11"/>
    </row>
    <row r="28" spans="1:23" ht="12.75">
      <c r="A28" s="115" t="s">
        <v>83</v>
      </c>
      <c r="B28" s="146"/>
      <c r="C28" s="135">
        <f>SUM(D28:W28)</f>
        <v>116327.27</v>
      </c>
      <c r="D28" s="28">
        <f>D24+D25-D26</f>
        <v>5611.579999999998</v>
      </c>
      <c r="E28" s="111">
        <f aca="true" t="shared" si="1" ref="E28:W28">E24+E25-E26</f>
        <v>-1487.15</v>
      </c>
      <c r="F28" s="67">
        <f t="shared" si="1"/>
        <v>3690.0199999999986</v>
      </c>
      <c r="G28" s="67">
        <f t="shared" si="1"/>
        <v>3069.1800000000003</v>
      </c>
      <c r="H28" s="67">
        <f t="shared" si="1"/>
        <v>32056.36</v>
      </c>
      <c r="I28" s="67">
        <f t="shared" si="1"/>
        <v>3473.0599999999977</v>
      </c>
      <c r="J28" s="67">
        <f t="shared" si="1"/>
        <v>14690.940000000002</v>
      </c>
      <c r="K28" s="67">
        <f t="shared" si="1"/>
        <v>26055.519999999997</v>
      </c>
      <c r="L28" s="67">
        <f t="shared" si="1"/>
        <v>4067.91</v>
      </c>
      <c r="M28" s="67">
        <f t="shared" si="1"/>
        <v>-2.02</v>
      </c>
      <c r="N28" s="67">
        <f t="shared" si="1"/>
        <v>-61.93</v>
      </c>
      <c r="O28" s="67">
        <f t="shared" si="1"/>
        <v>13653.060000000001</v>
      </c>
      <c r="P28" s="67">
        <f t="shared" si="1"/>
        <v>-194.52</v>
      </c>
      <c r="Q28" s="67">
        <f t="shared" si="1"/>
        <v>-190.49</v>
      </c>
      <c r="R28" s="67">
        <f t="shared" si="1"/>
        <v>-54.33</v>
      </c>
      <c r="S28" s="67">
        <f t="shared" si="1"/>
        <v>-273.93</v>
      </c>
      <c r="T28" s="67">
        <f t="shared" si="1"/>
        <v>4562.889999999999</v>
      </c>
      <c r="U28" s="53">
        <f t="shared" si="1"/>
        <v>7772.040000000001</v>
      </c>
      <c r="V28" s="67">
        <f t="shared" si="1"/>
        <v>-93.71999999999935</v>
      </c>
      <c r="W28" s="53">
        <f t="shared" si="1"/>
        <v>-17.2</v>
      </c>
    </row>
    <row r="29" spans="1:23" ht="13.5" thickBot="1">
      <c r="A29" s="30"/>
      <c r="B29" s="147"/>
      <c r="C29" s="19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8"/>
      <c r="V29" s="17"/>
      <c r="W29" s="18"/>
    </row>
    <row r="30" spans="1:23" ht="12.75">
      <c r="A30" s="73" t="s">
        <v>77</v>
      </c>
      <c r="B30" s="86"/>
      <c r="C30" s="74"/>
      <c r="D30" s="85"/>
      <c r="E30" s="74"/>
      <c r="F30" s="86"/>
      <c r="G30" s="74"/>
      <c r="H30" s="86"/>
      <c r="I30" s="74"/>
      <c r="J30" s="86"/>
      <c r="K30" s="74"/>
      <c r="L30" s="86"/>
      <c r="M30" s="74"/>
      <c r="N30" s="86"/>
      <c r="O30" s="74"/>
      <c r="P30" s="86"/>
      <c r="Q30" s="74"/>
      <c r="R30" s="86"/>
      <c r="S30" s="74"/>
      <c r="T30" s="86"/>
      <c r="U30" s="74"/>
      <c r="V30" s="86"/>
      <c r="W30" s="76"/>
    </row>
    <row r="31" spans="1:24" ht="13.5" thickBot="1">
      <c r="A31" s="40" t="s">
        <v>43</v>
      </c>
      <c r="B31" s="148">
        <f>SUM(B32:B36)</f>
        <v>427900</v>
      </c>
      <c r="C31" s="49">
        <f>SUM(D31:W31)</f>
        <v>265870.79</v>
      </c>
      <c r="D31" s="87">
        <f>D32+D33+D34+D35+D36</f>
        <v>24864.950917907856</v>
      </c>
      <c r="E31" s="87">
        <f aca="true" t="shared" si="2" ref="E31:W31">E32+E33+E34+E35+E36</f>
        <v>0</v>
      </c>
      <c r="F31" s="87">
        <f t="shared" si="2"/>
        <v>24478.328724789906</v>
      </c>
      <c r="G31" s="87">
        <f t="shared" si="2"/>
        <v>24628.497430700525</v>
      </c>
      <c r="H31" s="87">
        <f t="shared" si="2"/>
        <v>24566.272828803863</v>
      </c>
      <c r="I31" s="87">
        <f t="shared" si="2"/>
        <v>24978.614524039105</v>
      </c>
      <c r="J31" s="87">
        <f t="shared" si="2"/>
        <v>24821.8085272595</v>
      </c>
      <c r="K31" s="87">
        <f t="shared" si="2"/>
        <v>24690.722032597198</v>
      </c>
      <c r="L31" s="87">
        <f t="shared" si="2"/>
        <v>24616.882171679812</v>
      </c>
      <c r="M31" s="87">
        <f t="shared" si="2"/>
        <v>0</v>
      </c>
      <c r="N31" s="87">
        <f t="shared" si="2"/>
        <v>0</v>
      </c>
      <c r="O31" s="87">
        <f t="shared" si="2"/>
        <v>18985.970530710823</v>
      </c>
      <c r="P31" s="87">
        <f t="shared" si="2"/>
        <v>0</v>
      </c>
      <c r="Q31" s="87">
        <f t="shared" si="2"/>
        <v>0</v>
      </c>
      <c r="R31" s="87">
        <f t="shared" si="2"/>
        <v>0</v>
      </c>
      <c r="S31" s="87">
        <f t="shared" si="2"/>
        <v>0</v>
      </c>
      <c r="T31" s="87">
        <f t="shared" si="2"/>
        <v>24765.391554873193</v>
      </c>
      <c r="U31" s="87">
        <f t="shared" si="2"/>
        <v>24473.350756638174</v>
      </c>
      <c r="V31" s="87">
        <f t="shared" si="2"/>
        <v>0</v>
      </c>
      <c r="W31" s="87">
        <f t="shared" si="2"/>
        <v>0</v>
      </c>
      <c r="X31" s="62"/>
    </row>
    <row r="32" spans="1:24" ht="13.5" thickBot="1">
      <c r="A32" s="152" t="s">
        <v>35</v>
      </c>
      <c r="B32" s="140">
        <v>303600</v>
      </c>
      <c r="C32" s="136">
        <v>198330.8</v>
      </c>
      <c r="D32" s="51">
        <f>$C$32/$C$19*D19</f>
        <v>18548.429511603736</v>
      </c>
      <c r="E32" s="51">
        <v>0</v>
      </c>
      <c r="F32" s="51">
        <f aca="true" t="shared" si="3" ref="F32:L32">$C$32/$C$19*F19</f>
        <v>18260.022165844402</v>
      </c>
      <c r="G32" s="51">
        <f t="shared" si="3"/>
        <v>18372.043044776678</v>
      </c>
      <c r="H32" s="51">
        <f t="shared" si="3"/>
        <v>18325.625553506397</v>
      </c>
      <c r="I32" s="51">
        <f t="shared" si="3"/>
        <v>18633.21879565745</v>
      </c>
      <c r="J32" s="51">
        <f t="shared" si="3"/>
        <v>18516.246717656344</v>
      </c>
      <c r="K32" s="51">
        <f t="shared" si="3"/>
        <v>18418.460536046958</v>
      </c>
      <c r="L32" s="51">
        <f t="shared" si="3"/>
        <v>18363.378446406223</v>
      </c>
      <c r="M32" s="51">
        <v>0</v>
      </c>
      <c r="N32" s="51">
        <v>0</v>
      </c>
      <c r="O32" s="51">
        <f>$C$32/$C$19*O19</f>
        <v>14162.904936387718</v>
      </c>
      <c r="P32" s="51">
        <v>0</v>
      </c>
      <c r="Q32" s="51">
        <v>0</v>
      </c>
      <c r="R32" s="51">
        <v>0</v>
      </c>
      <c r="S32" s="51">
        <v>0</v>
      </c>
      <c r="T32" s="51">
        <f>$C$32/$C$19*T19</f>
        <v>18474.16152557129</v>
      </c>
      <c r="U32" s="51">
        <f>$C$32/$C$19*U19</f>
        <v>18256.30876654278</v>
      </c>
      <c r="V32" s="51">
        <v>0</v>
      </c>
      <c r="W32" s="51">
        <v>0</v>
      </c>
      <c r="X32" s="62"/>
    </row>
    <row r="33" spans="1:24" ht="12.75">
      <c r="A33" s="103" t="s">
        <v>36</v>
      </c>
      <c r="B33" s="154">
        <v>91700</v>
      </c>
      <c r="C33" s="137">
        <v>60309.59</v>
      </c>
      <c r="D33" s="52">
        <f>$C$33/$C$19*D19</f>
        <v>5640.314963630064</v>
      </c>
      <c r="E33" s="52">
        <v>0</v>
      </c>
      <c r="F33" s="52">
        <f aca="true" t="shared" si="4" ref="F33:L33">$C$33/$C$19*F19</f>
        <v>5552.614370601983</v>
      </c>
      <c r="G33" s="52">
        <f t="shared" si="4"/>
        <v>5586.678334846796</v>
      </c>
      <c r="H33" s="52">
        <f t="shared" si="4"/>
        <v>5572.563432535409</v>
      </c>
      <c r="I33" s="52">
        <f t="shared" si="4"/>
        <v>5666.09818518553</v>
      </c>
      <c r="J33" s="52">
        <f t="shared" si="4"/>
        <v>5630.528631360837</v>
      </c>
      <c r="K33" s="52">
        <f t="shared" si="4"/>
        <v>5600.793237158183</v>
      </c>
      <c r="L33" s="52">
        <f t="shared" si="4"/>
        <v>5584.043553082003</v>
      </c>
      <c r="M33" s="52">
        <v>0</v>
      </c>
      <c r="N33" s="52">
        <v>0</v>
      </c>
      <c r="O33" s="52">
        <f>$C$33/$C$19*O19</f>
        <v>4306.738993250264</v>
      </c>
      <c r="P33" s="52">
        <v>0</v>
      </c>
      <c r="Q33" s="52">
        <v>0</v>
      </c>
      <c r="R33" s="52">
        <v>0</v>
      </c>
      <c r="S33" s="52">
        <v>0</v>
      </c>
      <c r="T33" s="52">
        <f>$C$33/$C$19*T19</f>
        <v>5617.7311199318465</v>
      </c>
      <c r="U33" s="52">
        <f>$C$33/$C$19*U19</f>
        <v>5551.485178417072</v>
      </c>
      <c r="V33" s="52">
        <v>0</v>
      </c>
      <c r="W33" s="52">
        <v>0</v>
      </c>
      <c r="X33" s="62"/>
    </row>
    <row r="34" spans="1:24" ht="13.5" thickBot="1">
      <c r="A34" s="114" t="s">
        <v>68</v>
      </c>
      <c r="B34" s="151">
        <v>26190</v>
      </c>
      <c r="C34" s="138">
        <v>6505.92</v>
      </c>
      <c r="D34" s="104">
        <f>$C$34/$C$19*D19</f>
        <v>608.4511257360581</v>
      </c>
      <c r="E34" s="104">
        <v>0</v>
      </c>
      <c r="F34" s="104">
        <f aca="true" t="shared" si="5" ref="F34:L34">$C$34/$C$19*F19</f>
        <v>598.9903908480701</v>
      </c>
      <c r="G34" s="104">
        <f t="shared" si="5"/>
        <v>602.6650539697994</v>
      </c>
      <c r="H34" s="104">
        <f t="shared" si="5"/>
        <v>601.1424035049945</v>
      </c>
      <c r="I34" s="104">
        <f t="shared" si="5"/>
        <v>611.2325005851019</v>
      </c>
      <c r="J34" s="104">
        <f t="shared" si="5"/>
        <v>607.3954214137934</v>
      </c>
      <c r="K34" s="104">
        <f t="shared" si="5"/>
        <v>604.1877044346044</v>
      </c>
      <c r="L34" s="104">
        <f t="shared" si="5"/>
        <v>602.3808258830358</v>
      </c>
      <c r="M34" s="104">
        <v>0</v>
      </c>
      <c r="N34" s="104">
        <v>0</v>
      </c>
      <c r="O34" s="104">
        <f>$C$34/$C$19*O19</f>
        <v>464.59110982128647</v>
      </c>
      <c r="P34" s="104">
        <v>0</v>
      </c>
      <c r="Q34" s="104">
        <v>0</v>
      </c>
      <c r="R34" s="104">
        <v>0</v>
      </c>
      <c r="S34" s="104">
        <v>0</v>
      </c>
      <c r="T34" s="104">
        <f>$C$34/$C$19*T19</f>
        <v>606.0148849923703</v>
      </c>
      <c r="U34" s="104">
        <f>$C$34/$C$19*U19</f>
        <v>598.8685788108858</v>
      </c>
      <c r="V34" s="104">
        <v>0</v>
      </c>
      <c r="W34" s="104">
        <v>0</v>
      </c>
      <c r="X34" s="62"/>
    </row>
    <row r="35" spans="1:24" ht="13.5" thickBot="1">
      <c r="A35" s="116" t="s">
        <v>69</v>
      </c>
      <c r="B35" s="151">
        <v>5000</v>
      </c>
      <c r="C35" s="139">
        <v>465</v>
      </c>
      <c r="D35" s="129">
        <f>$C$35/$C$19*D19</f>
        <v>43.48804987876688</v>
      </c>
      <c r="E35" s="104">
        <v>0</v>
      </c>
      <c r="F35" s="104">
        <f aca="true" t="shared" si="6" ref="F35:L35">$C$35/$C$19*F19</f>
        <v>42.811859313418026</v>
      </c>
      <c r="G35" s="104">
        <f t="shared" si="6"/>
        <v>43.074499854894725</v>
      </c>
      <c r="H35" s="104">
        <f t="shared" si="6"/>
        <v>42.96567090124416</v>
      </c>
      <c r="I35" s="104">
        <f t="shared" si="6"/>
        <v>43.68684410076858</v>
      </c>
      <c r="J35" s="104">
        <f t="shared" si="6"/>
        <v>43.412595137569156</v>
      </c>
      <c r="K35" s="104">
        <f t="shared" si="6"/>
        <v>43.1833288085453</v>
      </c>
      <c r="L35" s="104">
        <f t="shared" si="6"/>
        <v>43.05418511687995</v>
      </c>
      <c r="M35" s="104">
        <v>0</v>
      </c>
      <c r="N35" s="104">
        <v>0</v>
      </c>
      <c r="O35" s="104">
        <f>$C$35/$C$19*O19</f>
        <v>33.20589033786124</v>
      </c>
      <c r="P35" s="104">
        <v>0</v>
      </c>
      <c r="Q35" s="104">
        <v>0</v>
      </c>
      <c r="R35" s="104">
        <v>0</v>
      </c>
      <c r="S35" s="104">
        <v>0</v>
      </c>
      <c r="T35" s="104">
        <f>$C$35/$C$19*T19</f>
        <v>43.31392355292597</v>
      </c>
      <c r="U35" s="104">
        <f>$C$35/$C$19*U19</f>
        <v>42.80315299712598</v>
      </c>
      <c r="V35" s="104">
        <v>0</v>
      </c>
      <c r="W35" s="104">
        <v>0</v>
      </c>
      <c r="X35" s="62"/>
    </row>
    <row r="36" spans="1:24" ht="13.5" thickBot="1">
      <c r="A36" s="116" t="s">
        <v>86</v>
      </c>
      <c r="B36" s="151">
        <v>1410</v>
      </c>
      <c r="C36" s="139">
        <v>259.48</v>
      </c>
      <c r="D36" s="129">
        <f>$C$36/$C$19*D19</f>
        <v>24.267267059231038</v>
      </c>
      <c r="E36" s="104">
        <v>0</v>
      </c>
      <c r="F36" s="104">
        <f aca="true" t="shared" si="7" ref="F36:L36">$C$36/$C$19*F19</f>
        <v>23.889938182033788</v>
      </c>
      <c r="G36" s="104">
        <f t="shared" si="7"/>
        <v>24.036497252361475</v>
      </c>
      <c r="H36" s="104">
        <f t="shared" si="7"/>
        <v>23.975768355816854</v>
      </c>
      <c r="I36" s="104">
        <f t="shared" si="7"/>
        <v>24.378198510252545</v>
      </c>
      <c r="J36" s="104">
        <f t="shared" si="7"/>
        <v>24.2251616909601</v>
      </c>
      <c r="K36" s="104">
        <f t="shared" si="7"/>
        <v>24.0972261489061</v>
      </c>
      <c r="L36" s="104">
        <f t="shared" si="7"/>
        <v>24.025161191673142</v>
      </c>
      <c r="M36" s="104">
        <v>0</v>
      </c>
      <c r="N36" s="104">
        <v>0</v>
      </c>
      <c r="O36" s="104">
        <f>$C$36/$C$19*O19</f>
        <v>18.52960091369513</v>
      </c>
      <c r="P36" s="104">
        <v>0</v>
      </c>
      <c r="Q36" s="104">
        <v>0</v>
      </c>
      <c r="R36" s="104">
        <v>0</v>
      </c>
      <c r="S36" s="104">
        <v>0</v>
      </c>
      <c r="T36" s="104">
        <f>$C$36/$C$19*T19</f>
        <v>24.170100824759643</v>
      </c>
      <c r="U36" s="104">
        <f>$C$36/$C$19*U19</f>
        <v>23.885079870310218</v>
      </c>
      <c r="V36" s="104">
        <v>0</v>
      </c>
      <c r="W36" s="104">
        <v>0</v>
      </c>
      <c r="X36" s="62"/>
    </row>
    <row r="37" spans="1:24" ht="26.25" thickBot="1">
      <c r="A37" s="106" t="s">
        <v>84</v>
      </c>
      <c r="B37" s="153"/>
      <c r="C37" s="130">
        <f>SUM(D37:W37)</f>
        <v>-47104.72147274045</v>
      </c>
      <c r="D37" s="101">
        <f>D22+D26-D31</f>
        <v>129.99908209214482</v>
      </c>
      <c r="E37" s="101">
        <f aca="true" t="shared" si="8" ref="E37:W37">E22+E26-E31</f>
        <v>0</v>
      </c>
      <c r="F37" s="101">
        <f t="shared" si="8"/>
        <v>-17617.568724789904</v>
      </c>
      <c r="G37" s="101">
        <f t="shared" si="8"/>
        <v>294.2925692994759</v>
      </c>
      <c r="H37" s="101">
        <f t="shared" si="8"/>
        <v>-8598.532828803862</v>
      </c>
      <c r="I37" s="101">
        <f t="shared" si="8"/>
        <v>3028.0054759608975</v>
      </c>
      <c r="J37" s="101">
        <v>-10038.73</v>
      </c>
      <c r="K37" s="101">
        <f t="shared" si="8"/>
        <v>-8086.8420325971965</v>
      </c>
      <c r="L37" s="101">
        <f t="shared" si="8"/>
        <v>1534.7678283201894</v>
      </c>
      <c r="M37" s="101">
        <f t="shared" si="8"/>
        <v>0</v>
      </c>
      <c r="N37" s="101">
        <f t="shared" si="8"/>
        <v>143.88</v>
      </c>
      <c r="O37" s="101">
        <f t="shared" si="8"/>
        <v>-5824.320530710824</v>
      </c>
      <c r="P37" s="101">
        <f t="shared" si="8"/>
        <v>0</v>
      </c>
      <c r="Q37" s="101">
        <f t="shared" si="8"/>
        <v>0</v>
      </c>
      <c r="R37" s="101">
        <f t="shared" si="8"/>
        <v>0</v>
      </c>
      <c r="S37" s="101">
        <f t="shared" si="8"/>
        <v>0</v>
      </c>
      <c r="T37" s="101">
        <f t="shared" si="8"/>
        <v>-535.1015548731921</v>
      </c>
      <c r="U37" s="101">
        <f t="shared" si="8"/>
        <v>-7314.520756638172</v>
      </c>
      <c r="V37" s="101">
        <f t="shared" si="8"/>
        <v>5779.95</v>
      </c>
      <c r="W37" s="101">
        <f t="shared" si="8"/>
        <v>0</v>
      </c>
      <c r="X37" s="123"/>
    </row>
    <row r="38" ht="12.75">
      <c r="K38" s="59"/>
    </row>
    <row r="39" spans="1:12" ht="12.75">
      <c r="A39" s="1" t="s">
        <v>73</v>
      </c>
      <c r="B39" s="1"/>
      <c r="C39" t="s">
        <v>58</v>
      </c>
      <c r="L39" t="s">
        <v>59</v>
      </c>
    </row>
    <row r="43" spans="4:23" ht="12.75">
      <c r="D43">
        <f>D24+ТР!C23</f>
        <v>10011.54</v>
      </c>
      <c r="E43">
        <f>E24+ТР!D23</f>
        <v>3729.0899999999997</v>
      </c>
      <c r="F43">
        <f>F24+ТР!E23</f>
        <v>3108.13</v>
      </c>
      <c r="G43">
        <f>G24+ТР!F23</f>
        <v>6091.73</v>
      </c>
      <c r="H43">
        <f>H24+ТР!G23</f>
        <v>56920.34</v>
      </c>
      <c r="I43">
        <f>I24+ТР!H23</f>
        <v>6614.02</v>
      </c>
      <c r="J43">
        <f>J24+ТР!I23</f>
        <v>25075.92</v>
      </c>
      <c r="K43">
        <f>K24+ТР!J23</f>
        <v>37402.58</v>
      </c>
      <c r="L43">
        <f>L24+ТР!K23</f>
        <v>12530.26</v>
      </c>
      <c r="M43">
        <f>M24+ТР!L23</f>
        <v>3222.35</v>
      </c>
      <c r="N43">
        <f>N24+ТР!M23</f>
        <v>16402.95</v>
      </c>
      <c r="O43">
        <f>O24+ТР!N23</f>
        <v>21893.14</v>
      </c>
      <c r="P43">
        <f>P24+ТР!O23</f>
        <v>-194.52</v>
      </c>
      <c r="Q43">
        <f>Q24+ТР!P23</f>
        <v>3290.0200000000004</v>
      </c>
      <c r="R43">
        <f>R24+ТР!Q23</f>
        <v>4155.97</v>
      </c>
      <c r="S43">
        <f>S24+ТР!R23</f>
        <v>5752.53</v>
      </c>
      <c r="T43">
        <f>T24+ТР!S23</f>
        <v>5013.83</v>
      </c>
      <c r="U43">
        <f>U24+ТР!T23</f>
        <v>7394.28</v>
      </c>
      <c r="V43">
        <f>V24+ТР!U23</f>
        <v>34588.57</v>
      </c>
      <c r="W43">
        <f>W24+ТР!V23</f>
        <v>6446.63</v>
      </c>
    </row>
  </sheetData>
  <sheetProtection/>
  <mergeCells count="3">
    <mergeCell ref="C7:P8"/>
    <mergeCell ref="A9:C9"/>
    <mergeCell ref="A10:C10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5"/>
  <sheetViews>
    <sheetView tabSelected="1" zoomScalePageLayoutView="0" workbookViewId="0" topLeftCell="A1">
      <pane xSplit="3" ySplit="14" topLeftCell="D2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S45" sqref="S45"/>
    </sheetView>
  </sheetViews>
  <sheetFormatPr defaultColWidth="9.140625" defaultRowHeight="12.75"/>
  <cols>
    <col min="1" max="1" width="36.421875" style="0" customWidth="1"/>
    <col min="2" max="2" width="12.140625" style="0" customWidth="1"/>
    <col min="3" max="3" width="17.421875" style="0" customWidth="1"/>
    <col min="4" max="4" width="10.57421875" style="0" customWidth="1"/>
    <col min="5" max="5" width="11.7109375" style="0" customWidth="1"/>
    <col min="11" max="11" width="11.7109375" style="0" customWidth="1"/>
    <col min="13" max="13" width="10.8515625" style="0" customWidth="1"/>
    <col min="14" max="15" width="11.00390625" style="0" customWidth="1"/>
    <col min="16" max="16" width="11.28125" style="0" customWidth="1"/>
    <col min="17" max="17" width="11.57421875" style="0" customWidth="1"/>
    <col min="18" max="18" width="12.140625" style="0" customWidth="1"/>
    <col min="19" max="19" width="11.28125" style="0" customWidth="1"/>
    <col min="20" max="21" width="11.140625" style="0" customWidth="1"/>
    <col min="22" max="22" width="10.8515625" style="0" customWidth="1"/>
    <col min="23" max="23" width="11.140625" style="0" customWidth="1"/>
  </cols>
  <sheetData>
    <row r="2" spans="1:20" ht="12.75">
      <c r="A2" t="s">
        <v>71</v>
      </c>
      <c r="T2" t="s">
        <v>0</v>
      </c>
    </row>
    <row r="3" spans="1:20" ht="12.75">
      <c r="A3" t="s">
        <v>103</v>
      </c>
      <c r="T3" t="s">
        <v>1</v>
      </c>
    </row>
    <row r="4" ht="12.75">
      <c r="T4" t="s">
        <v>2</v>
      </c>
    </row>
    <row r="5" spans="3:22" ht="12.75">
      <c r="C5" s="1"/>
      <c r="F5" s="1"/>
      <c r="H5" s="1"/>
      <c r="T5" s="1"/>
      <c r="V5" s="1" t="s">
        <v>3</v>
      </c>
    </row>
    <row r="6" spans="1:2" ht="12.75">
      <c r="A6" s="159" t="s">
        <v>100</v>
      </c>
      <c r="B6" s="54"/>
    </row>
    <row r="7" spans="3:21" ht="12.75">
      <c r="C7" s="176" t="s">
        <v>101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U7" s="159" t="s">
        <v>100</v>
      </c>
    </row>
    <row r="8" spans="1:16" ht="22.5" customHeight="1">
      <c r="A8" s="61"/>
      <c r="B8" s="61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</row>
    <row r="9" spans="1:5" ht="12.75">
      <c r="A9" s="169"/>
      <c r="B9" s="169"/>
      <c r="C9" s="169"/>
      <c r="E9" s="159" t="s">
        <v>74</v>
      </c>
    </row>
    <row r="10" spans="1:3" ht="12.75">
      <c r="A10" s="169"/>
      <c r="B10" s="169"/>
      <c r="C10" s="169"/>
    </row>
    <row r="11" ht="13.5" thickBot="1">
      <c r="J11" s="54"/>
    </row>
    <row r="12" spans="1:23" ht="25.5">
      <c r="A12" s="2"/>
      <c r="B12" s="157" t="s">
        <v>97</v>
      </c>
      <c r="C12" s="105" t="s">
        <v>4</v>
      </c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2"/>
    </row>
    <row r="13" spans="1:23" ht="12.75">
      <c r="A13" s="4"/>
      <c r="B13" s="158" t="s">
        <v>95</v>
      </c>
      <c r="C13" s="5" t="s">
        <v>6</v>
      </c>
      <c r="D13" s="4" t="s">
        <v>7</v>
      </c>
      <c r="E13" s="7" t="s">
        <v>8</v>
      </c>
      <c r="F13" s="6" t="s">
        <v>9</v>
      </c>
      <c r="G13" s="7" t="s">
        <v>10</v>
      </c>
      <c r="H13" s="6" t="s">
        <v>11</v>
      </c>
      <c r="I13" s="7" t="s">
        <v>12</v>
      </c>
      <c r="J13" s="6" t="s">
        <v>13</v>
      </c>
      <c r="K13" s="7" t="s">
        <v>14</v>
      </c>
      <c r="L13" s="6" t="s">
        <v>15</v>
      </c>
      <c r="M13" s="7" t="s">
        <v>16</v>
      </c>
      <c r="N13" s="6" t="s">
        <v>17</v>
      </c>
      <c r="O13" s="7" t="s">
        <v>18</v>
      </c>
      <c r="P13" s="6" t="s">
        <v>19</v>
      </c>
      <c r="Q13" s="7" t="s">
        <v>20</v>
      </c>
      <c r="R13" s="6" t="s">
        <v>21</v>
      </c>
      <c r="S13" s="7" t="s">
        <v>22</v>
      </c>
      <c r="T13" s="6" t="s">
        <v>23</v>
      </c>
      <c r="U13" s="7" t="s">
        <v>24</v>
      </c>
      <c r="V13" s="6" t="s">
        <v>25</v>
      </c>
      <c r="W13" s="7" t="s">
        <v>26</v>
      </c>
    </row>
    <row r="14" spans="1:23" ht="13.5" thickBot="1">
      <c r="A14" s="4"/>
      <c r="B14" s="158" t="s">
        <v>96</v>
      </c>
      <c r="C14" s="5"/>
      <c r="D14" s="4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</row>
    <row r="15" spans="1:23" ht="12.75">
      <c r="A15" s="9" t="s">
        <v>28</v>
      </c>
      <c r="B15" s="141"/>
      <c r="C15" s="3"/>
      <c r="D15" s="4"/>
      <c r="E15" s="7"/>
      <c r="F15" s="6"/>
      <c r="G15" s="7"/>
      <c r="H15" s="6"/>
      <c r="I15" s="128" t="s">
        <v>94</v>
      </c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</row>
    <row r="16" spans="1:23" ht="13.5" thickBot="1">
      <c r="A16" s="4"/>
      <c r="B16" s="140"/>
      <c r="C16" s="5"/>
      <c r="D16" s="30"/>
      <c r="E16" s="18"/>
      <c r="F16" s="17"/>
      <c r="G16" s="18"/>
      <c r="H16" s="17"/>
      <c r="I16" s="160" t="s">
        <v>63</v>
      </c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</row>
    <row r="17" spans="1:23" ht="12.75">
      <c r="A17" s="2" t="s">
        <v>29</v>
      </c>
      <c r="B17" s="142"/>
      <c r="C17" s="3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11"/>
    </row>
    <row r="18" spans="1:23" ht="12.75">
      <c r="A18" s="13" t="s">
        <v>30</v>
      </c>
      <c r="B18" s="143"/>
      <c r="C18" s="14"/>
      <c r="D18" s="6"/>
      <c r="E18" s="7"/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</row>
    <row r="19" spans="1:23" ht="13.5" thickBot="1">
      <c r="A19" s="15" t="s">
        <v>66</v>
      </c>
      <c r="B19" s="144">
        <v>5771.93</v>
      </c>
      <c r="C19" s="16">
        <f>SUM(D19:W19)</f>
        <v>5875.73</v>
      </c>
      <c r="D19" s="17">
        <v>299.7</v>
      </c>
      <c r="E19" s="18">
        <v>296.97</v>
      </c>
      <c r="F19" s="17">
        <v>295.04</v>
      </c>
      <c r="G19" s="18">
        <v>296.85</v>
      </c>
      <c r="H19" s="17">
        <v>296.1</v>
      </c>
      <c r="I19" s="18">
        <v>301.07</v>
      </c>
      <c r="J19" s="17">
        <v>299.18</v>
      </c>
      <c r="K19" s="18">
        <v>297.6</v>
      </c>
      <c r="L19" s="17">
        <v>296.71</v>
      </c>
      <c r="M19" s="18">
        <v>297.31</v>
      </c>
      <c r="N19" s="17">
        <v>294.74</v>
      </c>
      <c r="O19" s="18">
        <v>228.84</v>
      </c>
      <c r="P19" s="17">
        <v>297.1</v>
      </c>
      <c r="Q19" s="18">
        <v>295.54</v>
      </c>
      <c r="R19" s="17">
        <v>298.94</v>
      </c>
      <c r="S19" s="18">
        <v>298.37</v>
      </c>
      <c r="T19" s="17">
        <v>298.5</v>
      </c>
      <c r="U19" s="18">
        <v>294.98</v>
      </c>
      <c r="V19" s="17">
        <v>295.89</v>
      </c>
      <c r="W19" s="18">
        <v>296.3</v>
      </c>
    </row>
    <row r="20" spans="1:23" ht="12.75">
      <c r="A20" s="117" t="s">
        <v>70</v>
      </c>
      <c r="B20" s="142">
        <v>1.84</v>
      </c>
      <c r="C20" s="63">
        <v>4</v>
      </c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</row>
    <row r="21" spans="1:23" ht="13.5" thickBot="1">
      <c r="A21" s="44" t="s">
        <v>75</v>
      </c>
      <c r="B21" s="145"/>
      <c r="C21" s="16">
        <f>SUM(D21:W21)</f>
        <v>151.01999999999987</v>
      </c>
      <c r="D21" s="17">
        <v>-145.86</v>
      </c>
      <c r="E21" s="18">
        <v>-452.28</v>
      </c>
      <c r="F21" s="17">
        <v>-53.02</v>
      </c>
      <c r="G21" s="18">
        <v>994.02</v>
      </c>
      <c r="H21" s="17">
        <v>-308.43</v>
      </c>
      <c r="I21" s="18">
        <v>2094.62</v>
      </c>
      <c r="J21" s="17">
        <v>287.9</v>
      </c>
      <c r="K21" s="18">
        <v>-1298.17</v>
      </c>
      <c r="L21" s="17">
        <v>-610.94</v>
      </c>
      <c r="M21" s="18">
        <v>774.59</v>
      </c>
      <c r="N21" s="17">
        <v>-1584.12</v>
      </c>
      <c r="O21" s="18">
        <v>-503.73</v>
      </c>
      <c r="P21" s="17">
        <v>908.72</v>
      </c>
      <c r="Q21" s="18">
        <v>737.11</v>
      </c>
      <c r="R21" s="17">
        <v>680.11</v>
      </c>
      <c r="S21" s="18">
        <v>-34.98</v>
      </c>
      <c r="T21" s="17">
        <v>1204.48</v>
      </c>
      <c r="U21" s="18">
        <v>-210.77</v>
      </c>
      <c r="V21" s="17">
        <v>-1785.66</v>
      </c>
      <c r="W21" s="18">
        <v>-542.57</v>
      </c>
    </row>
    <row r="22" spans="1:23" ht="26.25" thickBot="1">
      <c r="A22" s="106" t="s">
        <v>54</v>
      </c>
      <c r="B22" s="149"/>
      <c r="C22" s="21">
        <f>C25</f>
        <v>255483.38</v>
      </c>
      <c r="D22" s="32">
        <f>D25</f>
        <v>13722.29</v>
      </c>
      <c r="E22" s="32">
        <f aca="true" t="shared" si="0" ref="E22:W22">E25</f>
        <v>15137.69</v>
      </c>
      <c r="F22" s="32">
        <f t="shared" si="0"/>
        <v>12801.89</v>
      </c>
      <c r="G22" s="32">
        <f t="shared" si="0"/>
        <v>14306.6</v>
      </c>
      <c r="H22" s="32">
        <f t="shared" si="0"/>
        <v>11320.82</v>
      </c>
      <c r="I22" s="32">
        <f t="shared" si="0"/>
        <v>14131.93</v>
      </c>
      <c r="J22" s="32">
        <f t="shared" si="0"/>
        <v>10630.41</v>
      </c>
      <c r="K22" s="32">
        <f t="shared" si="0"/>
        <v>8079.93</v>
      </c>
      <c r="L22" s="32">
        <f t="shared" si="0"/>
        <v>15229.86</v>
      </c>
      <c r="M22" s="32">
        <f t="shared" si="0"/>
        <v>14285.17</v>
      </c>
      <c r="N22" s="32">
        <f t="shared" si="0"/>
        <v>11687.59</v>
      </c>
      <c r="O22" s="32">
        <f t="shared" si="0"/>
        <v>9054.62</v>
      </c>
      <c r="P22" s="32">
        <f t="shared" si="0"/>
        <v>14276.36</v>
      </c>
      <c r="Q22" s="32">
        <f t="shared" si="0"/>
        <v>13522.64</v>
      </c>
      <c r="R22" s="32">
        <f t="shared" si="0"/>
        <v>13765.51</v>
      </c>
      <c r="S22" s="32">
        <f t="shared" si="0"/>
        <v>15073.64</v>
      </c>
      <c r="T22" s="32">
        <f t="shared" si="0"/>
        <v>13008.23</v>
      </c>
      <c r="U22" s="32">
        <f t="shared" si="0"/>
        <v>12637.96</v>
      </c>
      <c r="V22" s="32">
        <f t="shared" si="0"/>
        <v>10272.61</v>
      </c>
      <c r="W22" s="32">
        <f t="shared" si="0"/>
        <v>12537.63</v>
      </c>
    </row>
    <row r="23" spans="1:23" ht="13.5" thickBot="1">
      <c r="A23" s="126" t="s">
        <v>76</v>
      </c>
      <c r="B23" s="150"/>
      <c r="C23" s="3">
        <f>SUM(D23:W23)</f>
        <v>59635.32000000001</v>
      </c>
      <c r="D23" s="10">
        <v>3061.98</v>
      </c>
      <c r="E23" s="11">
        <v>3409.12</v>
      </c>
      <c r="F23" s="10">
        <v>2988.99</v>
      </c>
      <c r="G23" s="11">
        <v>1947.73</v>
      </c>
      <c r="H23" s="10">
        <v>3255.92</v>
      </c>
      <c r="I23" s="11">
        <v>2331.48</v>
      </c>
      <c r="J23" s="10">
        <v>2668.48</v>
      </c>
      <c r="K23" s="11">
        <v>4260.59</v>
      </c>
      <c r="L23" s="10">
        <v>3563.62</v>
      </c>
      <c r="M23" s="11">
        <v>2176.46</v>
      </c>
      <c r="N23" s="10">
        <v>4518.07</v>
      </c>
      <c r="O23" s="11">
        <v>2767.29</v>
      </c>
      <c r="P23" s="10">
        <v>2048.72</v>
      </c>
      <c r="Q23" s="11">
        <v>2199.04</v>
      </c>
      <c r="R23" s="10">
        <v>2295.65</v>
      </c>
      <c r="S23" s="11">
        <v>3005.06</v>
      </c>
      <c r="T23" s="10">
        <v>1766.9</v>
      </c>
      <c r="U23" s="11">
        <v>3147.11</v>
      </c>
      <c r="V23" s="10">
        <v>4731.06</v>
      </c>
      <c r="W23" s="11">
        <v>3492.05</v>
      </c>
    </row>
    <row r="24" spans="1:23" ht="13.5" thickBot="1">
      <c r="A24" s="15" t="s">
        <v>31</v>
      </c>
      <c r="B24" s="151"/>
      <c r="C24" s="3">
        <f>SUM(D24:W24)</f>
        <v>281677.2</v>
      </c>
      <c r="D24" s="55">
        <v>14253.6</v>
      </c>
      <c r="E24" s="64">
        <v>14256</v>
      </c>
      <c r="F24" s="65">
        <v>14160</v>
      </c>
      <c r="G24" s="64">
        <v>14222.4</v>
      </c>
      <c r="H24" s="65">
        <v>14212.8</v>
      </c>
      <c r="I24" s="64">
        <f>9411.36+4982.4</f>
        <v>14393.76</v>
      </c>
      <c r="J24" s="65">
        <v>14267.52</v>
      </c>
      <c r="K24" s="64">
        <v>14284.8</v>
      </c>
      <c r="L24" s="65">
        <v>14236.8</v>
      </c>
      <c r="M24" s="64">
        <v>14246.4</v>
      </c>
      <c r="N24" s="65">
        <v>14147.52</v>
      </c>
      <c r="O24" s="64">
        <v>10955.52</v>
      </c>
      <c r="P24" s="65">
        <v>14260.8</v>
      </c>
      <c r="Q24" s="64">
        <v>14164.8</v>
      </c>
      <c r="R24" s="65">
        <v>14349.36</v>
      </c>
      <c r="S24" s="64">
        <v>14325.76</v>
      </c>
      <c r="T24" s="65">
        <v>14355.2</v>
      </c>
      <c r="U24" s="64">
        <v>14159.04</v>
      </c>
      <c r="V24" s="65">
        <v>14202.72</v>
      </c>
      <c r="W24" s="66">
        <v>14222.4</v>
      </c>
    </row>
    <row r="25" spans="1:23" ht="13.5" thickBot="1">
      <c r="A25" s="4" t="s">
        <v>32</v>
      </c>
      <c r="B25" s="53"/>
      <c r="C25" s="3">
        <f>SUM(D25:W25)</f>
        <v>255483.38</v>
      </c>
      <c r="D25" s="6">
        <v>13722.29</v>
      </c>
      <c r="E25" s="7">
        <v>15137.69</v>
      </c>
      <c r="F25" s="47">
        <v>12801.89</v>
      </c>
      <c r="G25" s="7">
        <v>14306.6</v>
      </c>
      <c r="H25" s="45">
        <v>11320.82</v>
      </c>
      <c r="I25" s="7">
        <f>9149.53+4982.4</f>
        <v>14131.93</v>
      </c>
      <c r="J25" s="46">
        <v>10630.41</v>
      </c>
      <c r="K25" s="7">
        <v>8079.93</v>
      </c>
      <c r="L25" s="46">
        <v>15229.86</v>
      </c>
      <c r="M25" s="7">
        <v>14285.17</v>
      </c>
      <c r="N25" s="46">
        <v>11687.59</v>
      </c>
      <c r="O25" s="7">
        <v>9054.62</v>
      </c>
      <c r="P25" s="46">
        <v>14276.36</v>
      </c>
      <c r="Q25" s="7">
        <v>13522.64</v>
      </c>
      <c r="R25" s="46">
        <v>13765.51</v>
      </c>
      <c r="S25" s="7">
        <v>15073.64</v>
      </c>
      <c r="T25" s="46">
        <v>13008.23</v>
      </c>
      <c r="U25" s="7">
        <v>12637.96</v>
      </c>
      <c r="V25" s="46">
        <v>10272.61</v>
      </c>
      <c r="W25" s="7">
        <v>12537.63</v>
      </c>
    </row>
    <row r="26" spans="1:23" ht="13.5" thickBot="1">
      <c r="A26" s="23" t="s">
        <v>33</v>
      </c>
      <c r="B26" s="53"/>
      <c r="C26" s="24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25"/>
      <c r="S26" s="26"/>
      <c r="T26" s="25"/>
      <c r="U26" s="11"/>
      <c r="V26" s="25"/>
      <c r="W26" s="11"/>
    </row>
    <row r="27" spans="1:23" ht="13.5" thickBot="1">
      <c r="A27" s="115" t="s">
        <v>83</v>
      </c>
      <c r="B27" s="147"/>
      <c r="C27" s="29">
        <f>SUM(D27:X27)</f>
        <v>85829.14000000001</v>
      </c>
      <c r="D27" s="28">
        <f>D23+D24-D25</f>
        <v>3593.290000000001</v>
      </c>
      <c r="E27" s="111">
        <f aca="true" t="shared" si="1" ref="E27:W27">E23+E24-E25</f>
        <v>2527.4299999999985</v>
      </c>
      <c r="F27" s="67">
        <f t="shared" si="1"/>
        <v>4347.0999999999985</v>
      </c>
      <c r="G27" s="67">
        <f t="shared" si="1"/>
        <v>1863.5299999999988</v>
      </c>
      <c r="H27" s="67">
        <f t="shared" si="1"/>
        <v>6147.9000000000015</v>
      </c>
      <c r="I27" s="67">
        <f t="shared" si="1"/>
        <v>2593.3100000000013</v>
      </c>
      <c r="J27" s="67">
        <f t="shared" si="1"/>
        <v>6305.59</v>
      </c>
      <c r="K27" s="67">
        <f t="shared" si="1"/>
        <v>10465.46</v>
      </c>
      <c r="L27" s="67">
        <f>L23+L24-L25</f>
        <v>2570.5599999999977</v>
      </c>
      <c r="M27" s="67">
        <f t="shared" si="1"/>
        <v>2137.6900000000005</v>
      </c>
      <c r="N27" s="67">
        <f t="shared" si="1"/>
        <v>6978</v>
      </c>
      <c r="O27" s="67">
        <f t="shared" si="1"/>
        <v>4668.1900000000005</v>
      </c>
      <c r="P27" s="67">
        <f t="shared" si="1"/>
        <v>2033.159999999998</v>
      </c>
      <c r="Q27" s="67">
        <f t="shared" si="1"/>
        <v>2841.2000000000007</v>
      </c>
      <c r="R27" s="67">
        <f t="shared" si="1"/>
        <v>2879.500000000002</v>
      </c>
      <c r="S27" s="67">
        <f t="shared" si="1"/>
        <v>2257.1800000000003</v>
      </c>
      <c r="T27" s="67">
        <f t="shared" si="1"/>
        <v>3113.870000000001</v>
      </c>
      <c r="U27" s="53">
        <f t="shared" si="1"/>
        <v>4668.190000000002</v>
      </c>
      <c r="V27" s="67">
        <f t="shared" si="1"/>
        <v>8661.169999999998</v>
      </c>
      <c r="W27" s="53">
        <f t="shared" si="1"/>
        <v>5176.8200000000015</v>
      </c>
    </row>
    <row r="28" spans="1:23" ht="13.5" thickBot="1">
      <c r="A28" s="30"/>
      <c r="B28" s="146"/>
      <c r="C28" s="31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7"/>
      <c r="Q28" s="18"/>
      <c r="R28" s="17"/>
      <c r="S28" s="18"/>
      <c r="T28" s="17"/>
      <c r="U28" s="18"/>
      <c r="V28" s="17"/>
      <c r="W28" s="18"/>
    </row>
    <row r="29" spans="1:23" ht="13.5" thickBot="1">
      <c r="A29" s="20" t="s">
        <v>34</v>
      </c>
      <c r="B29" s="147"/>
      <c r="C29" s="48">
        <f>C31</f>
        <v>259405.57</v>
      </c>
      <c r="D29" s="32">
        <f>D31</f>
        <v>13231.351564656648</v>
      </c>
      <c r="E29" s="32">
        <f aca="true" t="shared" si="2" ref="E29:W29">E31</f>
        <v>13110.825739593214</v>
      </c>
      <c r="F29" s="32">
        <f t="shared" si="2"/>
        <v>13025.618837625285</v>
      </c>
      <c r="G29" s="32">
        <f t="shared" si="2"/>
        <v>13105.52790112888</v>
      </c>
      <c r="H29" s="32">
        <f t="shared" si="2"/>
        <v>13072.416410726837</v>
      </c>
      <c r="I29" s="32">
        <f t="shared" si="2"/>
        <v>13291.835220457713</v>
      </c>
      <c r="J29" s="32">
        <f t="shared" si="2"/>
        <v>13208.394264644563</v>
      </c>
      <c r="K29" s="32">
        <f t="shared" si="2"/>
        <v>13138.639391530927</v>
      </c>
      <c r="L29" s="32">
        <f t="shared" si="2"/>
        <v>13099.347089587167</v>
      </c>
      <c r="M29" s="32">
        <f t="shared" si="2"/>
        <v>13125.8362819088</v>
      </c>
      <c r="N29" s="32">
        <f t="shared" si="2"/>
        <v>13012.374241464462</v>
      </c>
      <c r="O29" s="32">
        <f t="shared" si="2"/>
        <v>10102.977951471565</v>
      </c>
      <c r="P29" s="32">
        <f t="shared" si="2"/>
        <v>13116.565064596229</v>
      </c>
      <c r="Q29" s="32">
        <f t="shared" si="2"/>
        <v>13047.693164559978</v>
      </c>
      <c r="R29" s="32">
        <f t="shared" si="2"/>
        <v>13197.798587715908</v>
      </c>
      <c r="S29" s="32">
        <f t="shared" si="2"/>
        <v>13172.633855010356</v>
      </c>
      <c r="T29" s="32">
        <f t="shared" si="2"/>
        <v>13178.373180013376</v>
      </c>
      <c r="U29" s="32">
        <f t="shared" si="2"/>
        <v>13022.96991839312</v>
      </c>
      <c r="V29" s="32">
        <f t="shared" si="2"/>
        <v>13063.145193414266</v>
      </c>
      <c r="W29" s="32">
        <f t="shared" si="2"/>
        <v>13081.246141500716</v>
      </c>
    </row>
    <row r="30" spans="1:23" ht="13.5" thickBot="1">
      <c r="A30" s="2"/>
      <c r="B30" s="86"/>
      <c r="C30" s="3"/>
      <c r="D30" s="10"/>
      <c r="E30" s="11"/>
      <c r="F30" s="10"/>
      <c r="G30" s="11"/>
      <c r="H30" s="10"/>
      <c r="I30" s="11"/>
      <c r="J30" s="10"/>
      <c r="K30" s="11"/>
      <c r="L30" s="10"/>
      <c r="M30" s="11"/>
      <c r="N30" s="10"/>
      <c r="O30" s="11"/>
      <c r="P30" s="10"/>
      <c r="Q30" s="11"/>
      <c r="R30" s="10"/>
      <c r="S30" s="11"/>
      <c r="T30" s="10"/>
      <c r="U30" s="11"/>
      <c r="V30" s="10"/>
      <c r="W30" s="11"/>
    </row>
    <row r="31" spans="1:23" ht="13.5" thickBot="1">
      <c r="A31" s="33" t="s">
        <v>56</v>
      </c>
      <c r="B31" s="165">
        <f>B32+B33+B35+B36+B38+B41</f>
        <v>280410</v>
      </c>
      <c r="C31" s="34">
        <f aca="true" t="shared" si="3" ref="C31:W31">SUM(C32:C41)</f>
        <v>259405.57</v>
      </c>
      <c r="D31" s="110">
        <f t="shared" si="3"/>
        <v>13231.351564656648</v>
      </c>
      <c r="E31" s="110">
        <f t="shared" si="3"/>
        <v>13110.825739593214</v>
      </c>
      <c r="F31" s="110">
        <f t="shared" si="3"/>
        <v>13025.618837625285</v>
      </c>
      <c r="G31" s="110">
        <f t="shared" si="3"/>
        <v>13105.52790112888</v>
      </c>
      <c r="H31" s="110">
        <f t="shared" si="3"/>
        <v>13072.416410726837</v>
      </c>
      <c r="I31" s="110">
        <f t="shared" si="3"/>
        <v>13291.835220457713</v>
      </c>
      <c r="J31" s="110">
        <f t="shared" si="3"/>
        <v>13208.394264644563</v>
      </c>
      <c r="K31" s="110">
        <f t="shared" si="3"/>
        <v>13138.639391530927</v>
      </c>
      <c r="L31" s="110">
        <f t="shared" si="3"/>
        <v>13099.347089587167</v>
      </c>
      <c r="M31" s="110">
        <f t="shared" si="3"/>
        <v>13125.8362819088</v>
      </c>
      <c r="N31" s="110">
        <f t="shared" si="3"/>
        <v>13012.374241464462</v>
      </c>
      <c r="O31" s="110">
        <f t="shared" si="3"/>
        <v>10102.977951471565</v>
      </c>
      <c r="P31" s="110">
        <f t="shared" si="3"/>
        <v>13116.565064596229</v>
      </c>
      <c r="Q31" s="110">
        <f t="shared" si="3"/>
        <v>13047.693164559978</v>
      </c>
      <c r="R31" s="110">
        <f t="shared" si="3"/>
        <v>13197.798587715908</v>
      </c>
      <c r="S31" s="110">
        <f t="shared" si="3"/>
        <v>13172.633855010356</v>
      </c>
      <c r="T31" s="110">
        <f t="shared" si="3"/>
        <v>13178.373180013376</v>
      </c>
      <c r="U31" s="110">
        <f t="shared" si="3"/>
        <v>13022.96991839312</v>
      </c>
      <c r="V31" s="110">
        <f t="shared" si="3"/>
        <v>13063.145193414266</v>
      </c>
      <c r="W31" s="122">
        <f t="shared" si="3"/>
        <v>13081.246141500716</v>
      </c>
    </row>
    <row r="32" spans="1:23" ht="13.5" thickBot="1">
      <c r="A32" s="4" t="s">
        <v>35</v>
      </c>
      <c r="B32" s="161">
        <v>200510</v>
      </c>
      <c r="C32" s="35">
        <v>182655</v>
      </c>
      <c r="D32" s="51">
        <f>$C$32/$C$19*D19</f>
        <v>9316.579131444094</v>
      </c>
      <c r="E32" s="51">
        <f aca="true" t="shared" si="4" ref="E32:V32">$C$32/$C$19*E19</f>
        <v>9231.713395612122</v>
      </c>
      <c r="F32" s="51">
        <f t="shared" si="4"/>
        <v>9171.716739877429</v>
      </c>
      <c r="G32" s="51">
        <f t="shared" si="4"/>
        <v>9227.98303359753</v>
      </c>
      <c r="H32" s="51">
        <f t="shared" si="4"/>
        <v>9204.668271006327</v>
      </c>
      <c r="I32" s="51">
        <f t="shared" si="4"/>
        <v>9359.167431110687</v>
      </c>
      <c r="J32" s="51">
        <f t="shared" si="4"/>
        <v>9300.41422938086</v>
      </c>
      <c r="K32" s="51">
        <f t="shared" si="4"/>
        <v>9251.29779618873</v>
      </c>
      <c r="L32" s="51">
        <f t="shared" si="4"/>
        <v>9223.630944580504</v>
      </c>
      <c r="M32" s="51">
        <f t="shared" si="4"/>
        <v>9242.282754653465</v>
      </c>
      <c r="N32" s="51">
        <f t="shared" si="4"/>
        <v>9162.390834840948</v>
      </c>
      <c r="O32" s="51">
        <f t="shared" si="4"/>
        <v>7113.800361827382</v>
      </c>
      <c r="P32" s="51">
        <f t="shared" si="4"/>
        <v>9235.75462112793</v>
      </c>
      <c r="Q32" s="51">
        <f t="shared" si="4"/>
        <v>9187.25991493823</v>
      </c>
      <c r="R32" s="51">
        <f t="shared" si="4"/>
        <v>9292.953505351676</v>
      </c>
      <c r="S32" s="51">
        <f t="shared" si="4"/>
        <v>9275.234285782362</v>
      </c>
      <c r="T32" s="51">
        <f t="shared" si="4"/>
        <v>9279.27551129817</v>
      </c>
      <c r="U32" s="51">
        <f t="shared" si="4"/>
        <v>9169.851558870134</v>
      </c>
      <c r="V32" s="51">
        <f t="shared" si="4"/>
        <v>9198.14013748079</v>
      </c>
      <c r="W32" s="119">
        <f>$C$32/$C$19*W19</f>
        <v>9210.885541030648</v>
      </c>
    </row>
    <row r="33" spans="1:23" ht="13.5" thickBot="1">
      <c r="A33" s="37" t="s">
        <v>36</v>
      </c>
      <c r="B33" s="162" t="s">
        <v>98</v>
      </c>
      <c r="C33" s="38">
        <v>55161.84</v>
      </c>
      <c r="D33" s="118">
        <f>$C$33/$C$19*D19</f>
        <v>2813.6084278889603</v>
      </c>
      <c r="E33" s="118">
        <f aca="true" t="shared" si="5" ref="E33:V33">$C$33/$C$19*E19</f>
        <v>2787.978961729011</v>
      </c>
      <c r="F33" s="118">
        <f t="shared" si="5"/>
        <v>2769.8599618430394</v>
      </c>
      <c r="G33" s="118">
        <f t="shared" si="5"/>
        <v>2786.8523917879143</v>
      </c>
      <c r="H33" s="118">
        <f t="shared" si="5"/>
        <v>2779.81132965606</v>
      </c>
      <c r="I33" s="118">
        <f t="shared" si="5"/>
        <v>2826.4701013831473</v>
      </c>
      <c r="J33" s="118">
        <f t="shared" si="5"/>
        <v>2808.7266248108745</v>
      </c>
      <c r="K33" s="118">
        <f t="shared" si="5"/>
        <v>2793.8934539197685</v>
      </c>
      <c r="L33" s="118">
        <f t="shared" si="5"/>
        <v>2785.538060189968</v>
      </c>
      <c r="M33" s="118">
        <f t="shared" si="5"/>
        <v>2791.170909895451</v>
      </c>
      <c r="N33" s="118">
        <f t="shared" si="5"/>
        <v>2767.0435369902975</v>
      </c>
      <c r="O33" s="118">
        <f t="shared" si="5"/>
        <v>2148.3688776713702</v>
      </c>
      <c r="P33" s="118">
        <f t="shared" si="5"/>
        <v>2789.199412498532</v>
      </c>
      <c r="Q33" s="118">
        <f t="shared" si="5"/>
        <v>2774.5540032642753</v>
      </c>
      <c r="R33" s="118">
        <f t="shared" si="5"/>
        <v>2806.473484928681</v>
      </c>
      <c r="S33" s="118">
        <f t="shared" si="5"/>
        <v>2801.122277708472</v>
      </c>
      <c r="T33" s="118">
        <f t="shared" si="5"/>
        <v>2802.342728477993</v>
      </c>
      <c r="U33" s="118">
        <f t="shared" si="5"/>
        <v>2769.296676872491</v>
      </c>
      <c r="V33" s="118">
        <f t="shared" si="5"/>
        <v>2777.8398322591406</v>
      </c>
      <c r="W33" s="120">
        <f>$C$33/$C$19*W19</f>
        <v>2781.6889462245545</v>
      </c>
    </row>
    <row r="34" spans="1:23" ht="13.5" thickBot="1">
      <c r="A34" s="4" t="s">
        <v>37</v>
      </c>
      <c r="B34" s="151"/>
      <c r="C34" s="35">
        <v>3050.48</v>
      </c>
      <c r="D34" s="51">
        <f>$C$34/$C$19*D19</f>
        <v>155.59408890469783</v>
      </c>
      <c r="E34" s="51">
        <f aca="true" t="shared" si="6" ref="E34:V34">$C$34/$C$19*E19</f>
        <v>154.1767653721325</v>
      </c>
      <c r="F34" s="51">
        <f t="shared" si="6"/>
        <v>153.17477474288305</v>
      </c>
      <c r="G34" s="51">
        <f t="shared" si="6"/>
        <v>154.11446543663513</v>
      </c>
      <c r="H34" s="51">
        <f t="shared" si="6"/>
        <v>153.72509083977653</v>
      </c>
      <c r="I34" s="51">
        <f t="shared" si="6"/>
        <v>156.3053465016262</v>
      </c>
      <c r="J34" s="51">
        <f t="shared" si="6"/>
        <v>155.32412251754252</v>
      </c>
      <c r="K34" s="51">
        <f t="shared" si="6"/>
        <v>154.50384003349373</v>
      </c>
      <c r="L34" s="51">
        <f t="shared" si="6"/>
        <v>154.04178217855485</v>
      </c>
      <c r="M34" s="51">
        <f t="shared" si="6"/>
        <v>154.35328185604175</v>
      </c>
      <c r="N34" s="51">
        <f t="shared" si="6"/>
        <v>153.0190249041396</v>
      </c>
      <c r="O34" s="51">
        <f t="shared" si="6"/>
        <v>118.805976993497</v>
      </c>
      <c r="P34" s="51">
        <f t="shared" si="6"/>
        <v>154.24425696892135</v>
      </c>
      <c r="Q34" s="51">
        <f t="shared" si="6"/>
        <v>153.43435780745546</v>
      </c>
      <c r="R34" s="51">
        <f t="shared" si="6"/>
        <v>155.19952264654776</v>
      </c>
      <c r="S34" s="51">
        <f t="shared" si="6"/>
        <v>154.90359795293523</v>
      </c>
      <c r="T34" s="51">
        <f t="shared" si="6"/>
        <v>154.97108954972404</v>
      </c>
      <c r="U34" s="51">
        <f t="shared" si="6"/>
        <v>153.14362477513436</v>
      </c>
      <c r="V34" s="51">
        <f t="shared" si="6"/>
        <v>153.6160659526561</v>
      </c>
      <c r="W34" s="119">
        <f>$C$34/$C$19*W19</f>
        <v>153.8289240656055</v>
      </c>
    </row>
    <row r="35" spans="1:23" ht="13.5" thickBot="1">
      <c r="A35" s="23" t="s">
        <v>38</v>
      </c>
      <c r="B35" s="164">
        <v>6050</v>
      </c>
      <c r="C35" s="38">
        <v>1350.57</v>
      </c>
      <c r="D35" s="118">
        <f aca="true" t="shared" si="7" ref="D35:W35">$C$35/$C$19*D19</f>
        <v>68.88775164958227</v>
      </c>
      <c r="E35" s="118">
        <f t="shared" si="7"/>
        <v>68.26024560352502</v>
      </c>
      <c r="F35" s="118">
        <f t="shared" si="7"/>
        <v>67.81662411308893</v>
      </c>
      <c r="G35" s="118">
        <f t="shared" si="7"/>
        <v>68.23266292018184</v>
      </c>
      <c r="H35" s="118">
        <f t="shared" si="7"/>
        <v>68.06027114928699</v>
      </c>
      <c r="I35" s="118">
        <f t="shared" si="7"/>
        <v>69.20265395108353</v>
      </c>
      <c r="J35" s="118">
        <f t="shared" si="7"/>
        <v>68.76822668842851</v>
      </c>
      <c r="K35" s="118">
        <f t="shared" si="7"/>
        <v>68.4050546910767</v>
      </c>
      <c r="L35" s="118">
        <f t="shared" si="7"/>
        <v>68.20048312294813</v>
      </c>
      <c r="M35" s="118">
        <f t="shared" si="7"/>
        <v>68.33839653966402</v>
      </c>
      <c r="N35" s="118">
        <f t="shared" si="7"/>
        <v>67.74766740473099</v>
      </c>
      <c r="O35" s="118">
        <f t="shared" si="7"/>
        <v>52.600177135436795</v>
      </c>
      <c r="P35" s="118">
        <f t="shared" si="7"/>
        <v>68.29012684381345</v>
      </c>
      <c r="Q35" s="118">
        <f t="shared" si="7"/>
        <v>67.93155196035217</v>
      </c>
      <c r="R35" s="118">
        <f t="shared" si="7"/>
        <v>68.71306132174216</v>
      </c>
      <c r="S35" s="118">
        <f t="shared" si="7"/>
        <v>68.58204357586207</v>
      </c>
      <c r="T35" s="118">
        <f t="shared" si="7"/>
        <v>68.6119248161505</v>
      </c>
      <c r="U35" s="118">
        <f t="shared" si="7"/>
        <v>67.80283277141734</v>
      </c>
      <c r="V35" s="118">
        <f t="shared" si="7"/>
        <v>68.01200145343643</v>
      </c>
      <c r="W35" s="120">
        <f t="shared" si="7"/>
        <v>68.10624228819228</v>
      </c>
    </row>
    <row r="36" spans="1:23" ht="13.5" thickBot="1">
      <c r="A36" s="4" t="s">
        <v>39</v>
      </c>
      <c r="B36" s="164">
        <v>1220</v>
      </c>
      <c r="C36" s="35">
        <v>217.7</v>
      </c>
      <c r="D36" s="51">
        <f aca="true" t="shared" si="8" ref="D36:W36">$C$36/$C$19*D19</f>
        <v>11.104099405520676</v>
      </c>
      <c r="E36" s="51">
        <f t="shared" si="8"/>
        <v>11.002950952477397</v>
      </c>
      <c r="F36" s="51">
        <f t="shared" si="8"/>
        <v>10.93144307175449</v>
      </c>
      <c r="G36" s="51">
        <f t="shared" si="8"/>
        <v>10.99850486662934</v>
      </c>
      <c r="H36" s="51">
        <f t="shared" si="8"/>
        <v>10.970716830078988</v>
      </c>
      <c r="I36" s="51">
        <f t="shared" si="8"/>
        <v>11.15485888561932</v>
      </c>
      <c r="J36" s="51">
        <f t="shared" si="8"/>
        <v>11.084833033512433</v>
      </c>
      <c r="K36" s="51">
        <f t="shared" si="8"/>
        <v>11.026292903179693</v>
      </c>
      <c r="L36" s="51">
        <f t="shared" si="8"/>
        <v>10.993317766473272</v>
      </c>
      <c r="M36" s="51">
        <f t="shared" si="8"/>
        <v>11.015548195713555</v>
      </c>
      <c r="N36" s="51">
        <f t="shared" si="8"/>
        <v>10.92032785713435</v>
      </c>
      <c r="O36" s="51">
        <f t="shared" si="8"/>
        <v>8.478685712243415</v>
      </c>
      <c r="P36" s="51">
        <f t="shared" si="8"/>
        <v>11.007767545479457</v>
      </c>
      <c r="Q36" s="51">
        <f t="shared" si="8"/>
        <v>10.949968429454724</v>
      </c>
      <c r="R36" s="51">
        <f t="shared" si="8"/>
        <v>11.07594086181632</v>
      </c>
      <c r="S36" s="51">
        <f t="shared" si="8"/>
        <v>11.054821954038053</v>
      </c>
      <c r="T36" s="51">
        <f t="shared" si="8"/>
        <v>11.059638547040114</v>
      </c>
      <c r="U36" s="51">
        <f t="shared" si="8"/>
        <v>10.929220028830462</v>
      </c>
      <c r="V36" s="51">
        <f t="shared" si="8"/>
        <v>10.962936179844888</v>
      </c>
      <c r="W36" s="119">
        <f t="shared" si="8"/>
        <v>10.978126973159082</v>
      </c>
    </row>
    <row r="37" spans="1:23" ht="13.5" thickBot="1">
      <c r="A37" s="23" t="s">
        <v>40</v>
      </c>
      <c r="B37" s="153"/>
      <c r="C37" s="38">
        <v>839.27</v>
      </c>
      <c r="D37" s="118">
        <f aca="true" t="shared" si="9" ref="D37:W37">$C$37/$C$19*D19</f>
        <v>42.80816494290922</v>
      </c>
      <c r="E37" s="118">
        <f t="shared" si="9"/>
        <v>42.41822069768353</v>
      </c>
      <c r="F37" s="118">
        <f t="shared" si="9"/>
        <v>42.14254582834815</v>
      </c>
      <c r="G37" s="118">
        <f t="shared" si="9"/>
        <v>42.401080291299984</v>
      </c>
      <c r="H37" s="118">
        <f t="shared" si="9"/>
        <v>42.29395275140281</v>
      </c>
      <c r="I37" s="118">
        <f t="shared" si="9"/>
        <v>43.00385124912139</v>
      </c>
      <c r="J37" s="118">
        <f t="shared" si="9"/>
        <v>42.733889848580525</v>
      </c>
      <c r="K37" s="118">
        <f t="shared" si="9"/>
        <v>42.508207831197154</v>
      </c>
      <c r="L37" s="118">
        <f t="shared" si="9"/>
        <v>42.381083150519174</v>
      </c>
      <c r="M37" s="118">
        <f t="shared" si="9"/>
        <v>42.46678518243691</v>
      </c>
      <c r="N37" s="118">
        <f t="shared" si="9"/>
        <v>42.099694812389274</v>
      </c>
      <c r="O37" s="118">
        <f t="shared" si="9"/>
        <v>32.686754973424584</v>
      </c>
      <c r="P37" s="118">
        <f t="shared" si="9"/>
        <v>42.436789471265705</v>
      </c>
      <c r="Q37" s="118">
        <f t="shared" si="9"/>
        <v>42.21396418827959</v>
      </c>
      <c r="R37" s="118">
        <f t="shared" si="9"/>
        <v>42.699609035813424</v>
      </c>
      <c r="S37" s="118">
        <f t="shared" si="9"/>
        <v>42.61819210549158</v>
      </c>
      <c r="T37" s="118">
        <f t="shared" si="9"/>
        <v>42.636760879073755</v>
      </c>
      <c r="U37" s="118">
        <f t="shared" si="9"/>
        <v>42.13397562515637</v>
      </c>
      <c r="V37" s="118">
        <f t="shared" si="9"/>
        <v>42.2639570402316</v>
      </c>
      <c r="W37" s="120">
        <f t="shared" si="9"/>
        <v>42.32252009537539</v>
      </c>
    </row>
    <row r="38" spans="1:23" ht="13.5" thickBot="1">
      <c r="A38" s="152" t="s">
        <v>99</v>
      </c>
      <c r="B38" s="163">
        <v>2400</v>
      </c>
      <c r="C38" s="35">
        <v>3120.1</v>
      </c>
      <c r="D38" s="51">
        <f aca="true" t="shared" si="10" ref="D38:W38">$C$38/$C$19*D19</f>
        <v>159.14515643162636</v>
      </c>
      <c r="E38" s="51">
        <f t="shared" si="10"/>
        <v>157.69548583750446</v>
      </c>
      <c r="F38" s="51">
        <f t="shared" si="10"/>
        <v>156.67062713909593</v>
      </c>
      <c r="G38" s="51">
        <f t="shared" si="10"/>
        <v>157.63176405314744</v>
      </c>
      <c r="H38" s="51">
        <f t="shared" si="10"/>
        <v>157.23350290091616</v>
      </c>
      <c r="I38" s="51">
        <f t="shared" si="10"/>
        <v>159.87264680303554</v>
      </c>
      <c r="J38" s="51">
        <f t="shared" si="10"/>
        <v>158.86902869941267</v>
      </c>
      <c r="K38" s="51">
        <f t="shared" si="10"/>
        <v>158.03002520537873</v>
      </c>
      <c r="L38" s="51">
        <f t="shared" si="10"/>
        <v>157.5574219713976</v>
      </c>
      <c r="M38" s="51">
        <f t="shared" si="10"/>
        <v>157.87603089318264</v>
      </c>
      <c r="N38" s="51">
        <f t="shared" si="10"/>
        <v>156.51132267820338</v>
      </c>
      <c r="O38" s="51">
        <f t="shared" si="10"/>
        <v>121.51744276881341</v>
      </c>
      <c r="P38" s="51">
        <f t="shared" si="10"/>
        <v>157.7645177705579</v>
      </c>
      <c r="Q38" s="51">
        <f t="shared" si="10"/>
        <v>156.93613457391677</v>
      </c>
      <c r="R38" s="51">
        <f t="shared" si="10"/>
        <v>158.74158513069864</v>
      </c>
      <c r="S38" s="51">
        <f t="shared" si="10"/>
        <v>158.43890665500288</v>
      </c>
      <c r="T38" s="51">
        <f t="shared" si="10"/>
        <v>158.50793858805628</v>
      </c>
      <c r="U38" s="51">
        <f t="shared" si="10"/>
        <v>156.6387662469174</v>
      </c>
      <c r="V38" s="51">
        <f t="shared" si="10"/>
        <v>157.12198977829138</v>
      </c>
      <c r="W38" s="119">
        <f t="shared" si="10"/>
        <v>157.3397058748445</v>
      </c>
    </row>
    <row r="39" spans="1:23" ht="13.5" thickBot="1">
      <c r="A39" s="37" t="s">
        <v>41</v>
      </c>
      <c r="B39" s="1"/>
      <c r="C39" s="38">
        <v>6421.99</v>
      </c>
      <c r="D39" s="118">
        <f aca="true" t="shared" si="11" ref="D39:W39">$C$39/$C$19*D19</f>
        <v>327.5627714343579</v>
      </c>
      <c r="E39" s="118">
        <f t="shared" si="11"/>
        <v>324.5789664092802</v>
      </c>
      <c r="F39" s="118">
        <f t="shared" si="11"/>
        <v>322.4695364831264</v>
      </c>
      <c r="G39" s="118">
        <f t="shared" si="11"/>
        <v>324.44781014444163</v>
      </c>
      <c r="H39" s="118">
        <f t="shared" si="11"/>
        <v>323.6280834892005</v>
      </c>
      <c r="I39" s="118">
        <f t="shared" si="11"/>
        <v>329.06013879126505</v>
      </c>
      <c r="J39" s="118">
        <f t="shared" si="11"/>
        <v>326.9944276200574</v>
      </c>
      <c r="K39" s="118">
        <f t="shared" si="11"/>
        <v>325.2675367996828</v>
      </c>
      <c r="L39" s="118">
        <f t="shared" si="11"/>
        <v>324.2947945021299</v>
      </c>
      <c r="M39" s="118">
        <f t="shared" si="11"/>
        <v>324.95057582632285</v>
      </c>
      <c r="N39" s="118">
        <f t="shared" si="11"/>
        <v>322.1416458210299</v>
      </c>
      <c r="O39" s="118">
        <f t="shared" si="11"/>
        <v>250.11499704717542</v>
      </c>
      <c r="P39" s="118">
        <f t="shared" si="11"/>
        <v>324.72105236285535</v>
      </c>
      <c r="Q39" s="118">
        <f t="shared" si="11"/>
        <v>323.0160209199538</v>
      </c>
      <c r="R39" s="118">
        <f t="shared" si="11"/>
        <v>326.73211509038026</v>
      </c>
      <c r="S39" s="118">
        <f t="shared" si="11"/>
        <v>326.10912283239696</v>
      </c>
      <c r="T39" s="118">
        <f t="shared" si="11"/>
        <v>326.2512087859721</v>
      </c>
      <c r="U39" s="118">
        <f t="shared" si="11"/>
        <v>322.40395835070706</v>
      </c>
      <c r="V39" s="118">
        <f t="shared" si="11"/>
        <v>323.39856002573293</v>
      </c>
      <c r="W39" s="120">
        <f t="shared" si="11"/>
        <v>323.84667726393144</v>
      </c>
    </row>
    <row r="40" spans="1:23" ht="12.75">
      <c r="A40" s="39" t="s">
        <v>42</v>
      </c>
      <c r="C40" s="56">
        <v>1534.77</v>
      </c>
      <c r="D40" s="51">
        <f aca="true" t="shared" si="12" ref="D40:W40">$C$40/$C$19*D19</f>
        <v>78.28313571249869</v>
      </c>
      <c r="E40" s="51">
        <f t="shared" si="12"/>
        <v>77.57004608789036</v>
      </c>
      <c r="F40" s="51">
        <f t="shared" si="12"/>
        <v>77.06592045584124</v>
      </c>
      <c r="G40" s="51">
        <f t="shared" si="12"/>
        <v>77.53870148900647</v>
      </c>
      <c r="H40" s="51">
        <f t="shared" si="12"/>
        <v>77.34279774598221</v>
      </c>
      <c r="I40" s="51">
        <f t="shared" si="12"/>
        <v>78.64098654975636</v>
      </c>
      <c r="J40" s="51">
        <f t="shared" si="12"/>
        <v>78.14730911733521</v>
      </c>
      <c r="K40" s="51">
        <f t="shared" si="12"/>
        <v>77.73460523203075</v>
      </c>
      <c r="L40" s="51">
        <f t="shared" si="12"/>
        <v>77.50213279030861</v>
      </c>
      <c r="M40" s="51">
        <f t="shared" si="12"/>
        <v>77.65885578472802</v>
      </c>
      <c r="N40" s="51">
        <f t="shared" si="12"/>
        <v>76.98755895863152</v>
      </c>
      <c r="O40" s="51">
        <f t="shared" si="12"/>
        <v>59.77415007156557</v>
      </c>
      <c r="P40" s="51">
        <f t="shared" si="12"/>
        <v>77.60400273668124</v>
      </c>
      <c r="Q40" s="51">
        <f t="shared" si="12"/>
        <v>77.19652295119074</v>
      </c>
      <c r="R40" s="51">
        <f t="shared" si="12"/>
        <v>78.08461991956744</v>
      </c>
      <c r="S40" s="51">
        <f t="shared" si="12"/>
        <v>77.93573307486899</v>
      </c>
      <c r="T40" s="51">
        <f t="shared" si="12"/>
        <v>77.96968972365987</v>
      </c>
      <c r="U40" s="51">
        <f t="shared" si="12"/>
        <v>77.05024815639929</v>
      </c>
      <c r="V40" s="51">
        <f t="shared" si="12"/>
        <v>77.2879446979354</v>
      </c>
      <c r="W40" s="119">
        <f t="shared" si="12"/>
        <v>77.395038744122</v>
      </c>
    </row>
    <row r="41" spans="1:23" ht="26.25" thickBot="1">
      <c r="A41" s="57" t="s">
        <v>51</v>
      </c>
      <c r="B41" s="163">
        <v>9680</v>
      </c>
      <c r="C41" s="16">
        <v>5053.85</v>
      </c>
      <c r="D41" s="104">
        <f aca="true" t="shared" si="13" ref="D41:W41">$C$41/$C$19*D19</f>
        <v>257.7788368424009</v>
      </c>
      <c r="E41" s="104">
        <f t="shared" si="13"/>
        <v>255.43070129158426</v>
      </c>
      <c r="F41" s="104">
        <f t="shared" si="13"/>
        <v>253.77066407067724</v>
      </c>
      <c r="G41" s="104">
        <f t="shared" si="13"/>
        <v>255.3274865420978</v>
      </c>
      <c r="H41" s="104">
        <f t="shared" si="13"/>
        <v>254.6823943578075</v>
      </c>
      <c r="I41" s="104">
        <f t="shared" si="13"/>
        <v>258.95720523237117</v>
      </c>
      <c r="J41" s="104">
        <f t="shared" si="13"/>
        <v>257.33157292795966</v>
      </c>
      <c r="K41" s="104">
        <f t="shared" si="13"/>
        <v>255.9725787263881</v>
      </c>
      <c r="L41" s="104">
        <f t="shared" si="13"/>
        <v>255.20706933436358</v>
      </c>
      <c r="M41" s="104">
        <f t="shared" si="13"/>
        <v>255.72314308179585</v>
      </c>
      <c r="N41" s="104">
        <f t="shared" si="13"/>
        <v>253.51262719696112</v>
      </c>
      <c r="O41" s="104">
        <f t="shared" si="13"/>
        <v>196.83052727065407</v>
      </c>
      <c r="P41" s="104">
        <f t="shared" si="13"/>
        <v>255.54251727019457</v>
      </c>
      <c r="Q41" s="104">
        <f t="shared" si="13"/>
        <v>254.20072552687077</v>
      </c>
      <c r="R41" s="104">
        <f t="shared" si="13"/>
        <v>257.12514342898675</v>
      </c>
      <c r="S41" s="104">
        <f t="shared" si="13"/>
        <v>256.63487336892615</v>
      </c>
      <c r="T41" s="104">
        <f t="shared" si="13"/>
        <v>256.74668934753646</v>
      </c>
      <c r="U41" s="104">
        <f t="shared" si="13"/>
        <v>253.719056695934</v>
      </c>
      <c r="V41" s="104">
        <f t="shared" si="13"/>
        <v>254.5017685462062</v>
      </c>
      <c r="W41" s="121">
        <f t="shared" si="13"/>
        <v>254.85441894028492</v>
      </c>
    </row>
    <row r="42" spans="1:24" ht="26.25" thickBot="1">
      <c r="A42" s="113" t="s">
        <v>84</v>
      </c>
      <c r="C42" s="43">
        <f>SUM(D42:W42)</f>
        <v>-3771.170000000011</v>
      </c>
      <c r="D42" s="101">
        <f>D21+D25-D31</f>
        <v>345.0784353433519</v>
      </c>
      <c r="E42" s="101">
        <f aca="true" t="shared" si="14" ref="E42:W42">E21+E25-E31</f>
        <v>1574.5842604067857</v>
      </c>
      <c r="F42" s="101">
        <f t="shared" si="14"/>
        <v>-276.7488376252859</v>
      </c>
      <c r="G42" s="101">
        <f t="shared" si="14"/>
        <v>2195.0920988711205</v>
      </c>
      <c r="H42" s="101">
        <f t="shared" si="14"/>
        <v>-2060.0264107268376</v>
      </c>
      <c r="I42" s="101">
        <f t="shared" si="14"/>
        <v>2934.714779542286</v>
      </c>
      <c r="J42" s="101">
        <f t="shared" si="14"/>
        <v>-2290.0842646445635</v>
      </c>
      <c r="K42" s="101">
        <f t="shared" si="14"/>
        <v>-6356.879391530927</v>
      </c>
      <c r="L42" s="101">
        <f t="shared" si="14"/>
        <v>1519.5729104128332</v>
      </c>
      <c r="M42" s="101">
        <f t="shared" si="14"/>
        <v>1933.9237180912005</v>
      </c>
      <c r="N42" s="101">
        <f t="shared" si="14"/>
        <v>-2908.904241464461</v>
      </c>
      <c r="O42" s="101">
        <f t="shared" si="14"/>
        <v>-1552.0879514715634</v>
      </c>
      <c r="P42" s="101">
        <f t="shared" si="14"/>
        <v>2068.5149354037712</v>
      </c>
      <c r="Q42" s="101">
        <f t="shared" si="14"/>
        <v>1212.056835440022</v>
      </c>
      <c r="R42" s="101">
        <f t="shared" si="14"/>
        <v>1247.8214122840927</v>
      </c>
      <c r="S42" s="101">
        <f t="shared" si="14"/>
        <v>1866.0261449896443</v>
      </c>
      <c r="T42" s="101">
        <f t="shared" si="14"/>
        <v>1034.3368199866236</v>
      </c>
      <c r="U42" s="101">
        <f t="shared" si="14"/>
        <v>-595.779918393122</v>
      </c>
      <c r="V42" s="101">
        <f t="shared" si="14"/>
        <v>-4576.195193414265</v>
      </c>
      <c r="W42" s="101">
        <f t="shared" si="14"/>
        <v>-1086.186141500717</v>
      </c>
      <c r="X42" s="123"/>
    </row>
    <row r="43" spans="3:5" ht="12.75">
      <c r="C43" s="62"/>
      <c r="E43" s="60"/>
    </row>
    <row r="44" ht="12.75">
      <c r="K44" s="59"/>
    </row>
    <row r="45" spans="1:12" ht="12.75">
      <c r="A45" s="1" t="s">
        <v>73</v>
      </c>
      <c r="C45" t="s">
        <v>58</v>
      </c>
      <c r="L45" t="s">
        <v>59</v>
      </c>
    </row>
  </sheetData>
  <sheetProtection/>
  <mergeCells count="3">
    <mergeCell ref="C7:P8"/>
    <mergeCell ref="A9:C9"/>
    <mergeCell ref="A10:C10"/>
  </mergeCells>
  <printOptions/>
  <pageMargins left="0.25" right="0.25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2019-02-06T02:06:45Z</cp:lastPrinted>
  <dcterms:created xsi:type="dcterms:W3CDTF">1996-10-08T23:32:33Z</dcterms:created>
  <dcterms:modified xsi:type="dcterms:W3CDTF">2019-02-06T02:09:29Z</dcterms:modified>
  <cp:category/>
  <cp:version/>
  <cp:contentType/>
  <cp:contentStatus/>
</cp:coreProperties>
</file>